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TRANSPARENCIA HACIENDA PUBLICA MUNICIPAL\2021\INFORMACION MENSUAL\5 MAYO\4 INCISO G NOMINAS DEL SUJETO OBLIGADO ABRIL 2021\"/>
    </mc:Choice>
  </mc:AlternateContent>
  <bookViews>
    <workbookView xWindow="0" yWindow="0" windowWidth="28800" windowHeight="12435" tabRatio="775" firstSheet="1" activeTab="1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PROTECCION CIVIL" sheetId="124" r:id="rId5"/>
    <sheet name="JUBILADOS" sheetId="125" r:id="rId6"/>
    <sheet name="Determinacion ISR 2021" sheetId="130" r:id="rId7"/>
  </sheets>
  <externalReferences>
    <externalReference r:id="rId8"/>
  </externalReferences>
  <definedNames>
    <definedName name="_45">#REF!</definedName>
    <definedName name="_xlnm.Print_Area" localSheetId="5">JUBILADOS!$C$3:$J$28</definedName>
    <definedName name="_xlnm.Print_Area" localSheetId="2">PERMANENTES!$B$2:$N$33</definedName>
    <definedName name="_xlnm.Print_Area" localSheetId="1">REGIDORES!$A$3:$M$38</definedName>
    <definedName name="_xlnm.Print_Area" localSheetId="4">'SEG.PUB.MPAL Y PROTECCION CIVIL'!$C$2:$M$46</definedName>
    <definedName name="_xlnm.Print_Area" localSheetId="3">SUPERNUMERARIO!$B$120:$N$163</definedName>
    <definedName name="CREDITO">#REF!</definedName>
    <definedName name="Credito1">#REF!</definedName>
    <definedName name="isr">#REF!</definedName>
    <definedName name="SUBSIDIO">'Determinacion ISR 2021'!$P$17:$Q$27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2021'!$H$17:$J$27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L64" i="124" l="1"/>
  <c r="K13" i="124" l="1"/>
  <c r="L13" i="124" s="1"/>
  <c r="I18" i="125" l="1"/>
  <c r="K96" i="120" l="1"/>
  <c r="K36" i="124" l="1"/>
  <c r="L36" i="124" s="1"/>
  <c r="I105" i="120" l="1"/>
  <c r="L105" i="120"/>
  <c r="H105" i="120"/>
  <c r="I82" i="120"/>
  <c r="L82" i="120"/>
  <c r="H82" i="120"/>
  <c r="I59" i="120"/>
  <c r="L59" i="120"/>
  <c r="H59" i="120"/>
  <c r="I34" i="120"/>
  <c r="L34" i="120"/>
  <c r="H34" i="120"/>
  <c r="K46" i="120"/>
  <c r="J46" i="120"/>
  <c r="K17" i="126"/>
  <c r="L17" i="126" s="1"/>
  <c r="H104" i="120" l="1"/>
  <c r="I104" i="120"/>
  <c r="M46" i="120"/>
  <c r="K35" i="124"/>
  <c r="L35" i="124" s="1"/>
  <c r="K34" i="124"/>
  <c r="L34" i="124" s="1"/>
  <c r="D52" i="124"/>
  <c r="I21" i="126" l="1"/>
  <c r="K21" i="126"/>
  <c r="L21" i="126" s="1"/>
  <c r="J21" i="126"/>
  <c r="G24" i="126"/>
  <c r="K24" i="126" s="1"/>
  <c r="L24" i="126" s="1"/>
  <c r="I24" i="126" l="1"/>
  <c r="H39" i="124"/>
  <c r="M98" i="123" l="1"/>
  <c r="M102" i="123"/>
  <c r="K129" i="123"/>
  <c r="J129" i="123"/>
  <c r="K112" i="123"/>
  <c r="J112" i="123"/>
  <c r="M112" i="123" s="1"/>
  <c r="J97" i="123"/>
  <c r="K97" i="123"/>
  <c r="J98" i="123"/>
  <c r="K98" i="123"/>
  <c r="J99" i="123"/>
  <c r="K99" i="123"/>
  <c r="J100" i="123"/>
  <c r="K100" i="123"/>
  <c r="M100" i="123" s="1"/>
  <c r="J101" i="123"/>
  <c r="K101" i="123"/>
  <c r="J102" i="123"/>
  <c r="K102" i="123"/>
  <c r="J103" i="123"/>
  <c r="K103" i="123"/>
  <c r="J104" i="123"/>
  <c r="K104" i="123"/>
  <c r="M104" i="123" s="1"/>
  <c r="J105" i="123"/>
  <c r="K105" i="123"/>
  <c r="J106" i="123"/>
  <c r="M106" i="123" s="1"/>
  <c r="K106" i="123"/>
  <c r="J107" i="123"/>
  <c r="K107" i="123"/>
  <c r="J108" i="123"/>
  <c r="K108" i="123"/>
  <c r="M108" i="123" s="1"/>
  <c r="J109" i="123"/>
  <c r="K109" i="123"/>
  <c r="K96" i="123"/>
  <c r="J96" i="123"/>
  <c r="M96" i="123" s="1"/>
  <c r="K94" i="123"/>
  <c r="J94" i="123"/>
  <c r="M94" i="123" s="1"/>
  <c r="K91" i="123"/>
  <c r="J91" i="123"/>
  <c r="M91" i="123" s="1"/>
  <c r="J57" i="123"/>
  <c r="K57" i="123"/>
  <c r="M57" i="123" s="1"/>
  <c r="J58" i="123"/>
  <c r="K58" i="123"/>
  <c r="J59" i="123"/>
  <c r="K59" i="123"/>
  <c r="J60" i="123"/>
  <c r="K60" i="123"/>
  <c r="J62" i="123"/>
  <c r="K62" i="123"/>
  <c r="J63" i="123"/>
  <c r="K63" i="123"/>
  <c r="J64" i="123"/>
  <c r="K64" i="123"/>
  <c r="J65" i="123"/>
  <c r="K65" i="123"/>
  <c r="J66" i="123"/>
  <c r="K66" i="123"/>
  <c r="J67" i="123"/>
  <c r="K67" i="123"/>
  <c r="J68" i="123"/>
  <c r="K68" i="123"/>
  <c r="J69" i="123"/>
  <c r="K69" i="123"/>
  <c r="M69" i="123" s="1"/>
  <c r="J70" i="123"/>
  <c r="K70" i="123"/>
  <c r="J72" i="123"/>
  <c r="K72" i="123"/>
  <c r="J54" i="123"/>
  <c r="K54" i="123"/>
  <c r="J55" i="123"/>
  <c r="K55" i="123"/>
  <c r="J56" i="123"/>
  <c r="K56" i="123"/>
  <c r="K41" i="123"/>
  <c r="J41" i="123"/>
  <c r="M41" i="123" s="1"/>
  <c r="K38" i="123"/>
  <c r="J38" i="123"/>
  <c r="K37" i="123"/>
  <c r="J37" i="123"/>
  <c r="M37" i="123" s="1"/>
  <c r="J35" i="123"/>
  <c r="K35" i="123"/>
  <c r="K34" i="123"/>
  <c r="J34" i="123"/>
  <c r="M34" i="123" s="1"/>
  <c r="K32" i="123"/>
  <c r="J32" i="123"/>
  <c r="K31" i="123"/>
  <c r="J31" i="123"/>
  <c r="M31" i="123" s="1"/>
  <c r="K30" i="123"/>
  <c r="J30" i="123"/>
  <c r="K27" i="123"/>
  <c r="J27" i="123"/>
  <c r="K25" i="123"/>
  <c r="J25" i="123"/>
  <c r="K24" i="123"/>
  <c r="J24" i="123"/>
  <c r="K20" i="123"/>
  <c r="J20" i="123"/>
  <c r="K16" i="123"/>
  <c r="J16" i="123"/>
  <c r="J13" i="123"/>
  <c r="K13" i="123"/>
  <c r="J14" i="123"/>
  <c r="K14" i="123"/>
  <c r="K154" i="123"/>
  <c r="J154" i="123"/>
  <c r="M154" i="123" s="1"/>
  <c r="K152" i="123"/>
  <c r="J152" i="123"/>
  <c r="M152" i="123" s="1"/>
  <c r="K151" i="123"/>
  <c r="J151" i="123"/>
  <c r="M151" i="123" s="1"/>
  <c r="K149" i="123"/>
  <c r="J149" i="123"/>
  <c r="M149" i="123" s="1"/>
  <c r="K145" i="123"/>
  <c r="J145" i="123"/>
  <c r="M145" i="123" s="1"/>
  <c r="K142" i="123"/>
  <c r="J142" i="123"/>
  <c r="M142" i="123" s="1"/>
  <c r="J89" i="123"/>
  <c r="K101" i="120"/>
  <c r="K100" i="120"/>
  <c r="K93" i="120"/>
  <c r="K94" i="120"/>
  <c r="K95" i="120"/>
  <c r="K97" i="120"/>
  <c r="K98" i="120"/>
  <c r="K76" i="120"/>
  <c r="K74" i="120"/>
  <c r="K73" i="120"/>
  <c r="K72" i="120"/>
  <c r="K71" i="120"/>
  <c r="K70" i="120"/>
  <c r="K69" i="120"/>
  <c r="K58" i="120"/>
  <c r="K57" i="120"/>
  <c r="K56" i="120"/>
  <c r="K54" i="120"/>
  <c r="K52" i="120"/>
  <c r="K51" i="120"/>
  <c r="K50" i="120"/>
  <c r="K49" i="120"/>
  <c r="K47" i="120"/>
  <c r="K33" i="120"/>
  <c r="K29" i="120"/>
  <c r="K26" i="120"/>
  <c r="K27" i="120"/>
  <c r="K25" i="120"/>
  <c r="K23" i="120"/>
  <c r="K21" i="120"/>
  <c r="K19" i="120"/>
  <c r="K17" i="120"/>
  <c r="K16" i="120"/>
  <c r="K14" i="120"/>
  <c r="K12" i="120"/>
  <c r="J97" i="120"/>
  <c r="J98" i="120"/>
  <c r="J95" i="120"/>
  <c r="J93" i="120"/>
  <c r="J92" i="120"/>
  <c r="J71" i="120"/>
  <c r="J72" i="120"/>
  <c r="J73" i="120"/>
  <c r="J74" i="120"/>
  <c r="J26" i="120"/>
  <c r="J27" i="120"/>
  <c r="K20" i="126"/>
  <c r="M25" i="123" l="1"/>
  <c r="M32" i="123"/>
  <c r="M38" i="123"/>
  <c r="M107" i="123"/>
  <c r="M101" i="123"/>
  <c r="M99" i="123"/>
  <c r="M20" i="123"/>
  <c r="M109" i="123"/>
  <c r="M105" i="123"/>
  <c r="M97" i="123"/>
  <c r="K34" i="120"/>
  <c r="K59" i="120"/>
  <c r="K82" i="120"/>
  <c r="M56" i="123"/>
  <c r="M65" i="123"/>
  <c r="M55" i="123"/>
  <c r="M72" i="123"/>
  <c r="M63" i="123"/>
  <c r="M60" i="123"/>
  <c r="M54" i="123"/>
  <c r="M70" i="123"/>
  <c r="M68" i="123"/>
  <c r="M66" i="123"/>
  <c r="M64" i="123"/>
  <c r="M62" i="123"/>
  <c r="M59" i="123"/>
  <c r="M35" i="123"/>
  <c r="M24" i="123"/>
  <c r="M58" i="123"/>
  <c r="M103" i="123"/>
  <c r="M67" i="123"/>
  <c r="K12" i="124"/>
  <c r="I17" i="125" l="1"/>
  <c r="I16" i="125"/>
  <c r="I15" i="125"/>
  <c r="I14" i="125"/>
  <c r="K14" i="124"/>
  <c r="J14" i="124"/>
  <c r="L14" i="124" l="1"/>
  <c r="K32" i="124"/>
  <c r="K33" i="124"/>
  <c r="J32" i="124"/>
  <c r="J33" i="124"/>
  <c r="L33" i="124" l="1"/>
  <c r="L32" i="124"/>
  <c r="K31" i="124" l="1"/>
  <c r="J31" i="124"/>
  <c r="K30" i="124"/>
  <c r="J30" i="124"/>
  <c r="K29" i="124"/>
  <c r="J29" i="124"/>
  <c r="K27" i="124"/>
  <c r="J27" i="124"/>
  <c r="K26" i="124"/>
  <c r="J26" i="124"/>
  <c r="K25" i="124"/>
  <c r="J25" i="124"/>
  <c r="K24" i="124"/>
  <c r="J24" i="124"/>
  <c r="K23" i="124"/>
  <c r="J23" i="124"/>
  <c r="L23" i="124" l="1"/>
  <c r="L31" i="124"/>
  <c r="L26" i="124"/>
  <c r="L24" i="124"/>
  <c r="L25" i="124"/>
  <c r="L27" i="124"/>
  <c r="L29" i="124"/>
  <c r="L30" i="124"/>
  <c r="K65" i="124" l="1"/>
  <c r="L65" i="124" s="1"/>
  <c r="K61" i="124" l="1"/>
  <c r="J61" i="124"/>
  <c r="K60" i="124"/>
  <c r="J60" i="124"/>
  <c r="J18" i="124"/>
  <c r="K18" i="124"/>
  <c r="J19" i="124"/>
  <c r="K19" i="124"/>
  <c r="J20" i="124"/>
  <c r="K20" i="124"/>
  <c r="J21" i="124"/>
  <c r="K21" i="124"/>
  <c r="J16" i="124"/>
  <c r="K16" i="124"/>
  <c r="J17" i="124"/>
  <c r="K17" i="124"/>
  <c r="J12" i="124"/>
  <c r="L12" i="124" s="1"/>
  <c r="K89" i="123"/>
  <c r="M89" i="123" s="1"/>
  <c r="L17" i="124" l="1"/>
  <c r="L19" i="124"/>
  <c r="L16" i="124"/>
  <c r="L18" i="124"/>
  <c r="L21" i="124"/>
  <c r="L20" i="124"/>
  <c r="J100" i="120"/>
  <c r="K92" i="120"/>
  <c r="K105" i="120" s="1"/>
  <c r="K104" i="120" s="1"/>
  <c r="J76" i="120"/>
  <c r="J70" i="120"/>
  <c r="J69" i="120"/>
  <c r="J82" i="120" s="1"/>
  <c r="J58" i="120"/>
  <c r="J56" i="120"/>
  <c r="J54" i="120"/>
  <c r="J52" i="120"/>
  <c r="J51" i="120"/>
  <c r="J50" i="120"/>
  <c r="J49" i="120"/>
  <c r="J47" i="120"/>
  <c r="J59" i="120" s="1"/>
  <c r="J33" i="120"/>
  <c r="J31" i="120"/>
  <c r="J29" i="120"/>
  <c r="J25" i="120"/>
  <c r="J23" i="120"/>
  <c r="J21" i="120"/>
  <c r="J19" i="120"/>
  <c r="J17" i="120"/>
  <c r="J16" i="120"/>
  <c r="J14" i="120"/>
  <c r="J12" i="120"/>
  <c r="J101" i="120"/>
  <c r="J105" i="120" s="1"/>
  <c r="J57" i="120"/>
  <c r="C12" i="130"/>
  <c r="J34" i="120" l="1"/>
  <c r="J104" i="120" s="1"/>
  <c r="C15" i="130"/>
  <c r="C22" i="130" l="1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I139" i="123" l="1"/>
  <c r="I140" i="123"/>
  <c r="I131" i="123"/>
  <c r="I132" i="123"/>
  <c r="I133" i="123"/>
  <c r="I134" i="123"/>
  <c r="I135" i="123"/>
  <c r="I136" i="123"/>
  <c r="I137" i="123"/>
  <c r="I11" i="124"/>
  <c r="P25" i="124"/>
  <c r="P22" i="124"/>
  <c r="P23" i="124" s="1"/>
  <c r="H79" i="123"/>
  <c r="I78" i="123"/>
  <c r="K78" i="123" s="1"/>
  <c r="I12" i="125"/>
  <c r="I13" i="125"/>
  <c r="G20" i="125"/>
  <c r="H20" i="125"/>
  <c r="Q11" i="124"/>
  <c r="I15" i="124"/>
  <c r="Q15" i="124"/>
  <c r="Q17" i="124"/>
  <c r="Q18" i="124"/>
  <c r="Q19" i="124"/>
  <c r="Q20" i="124"/>
  <c r="Q21" i="124"/>
  <c r="Q59" i="124"/>
  <c r="L60" i="124"/>
  <c r="L61" i="124"/>
  <c r="Q61" i="124"/>
  <c r="I62" i="124"/>
  <c r="Q62" i="124"/>
  <c r="I63" i="124"/>
  <c r="Q63" i="124"/>
  <c r="H67" i="124"/>
  <c r="I12" i="123"/>
  <c r="J12" i="123" s="1"/>
  <c r="M13" i="123"/>
  <c r="M14" i="123"/>
  <c r="M16" i="123"/>
  <c r="M23" i="123"/>
  <c r="H43" i="123"/>
  <c r="L43" i="123"/>
  <c r="I61" i="123"/>
  <c r="I71" i="123"/>
  <c r="I73" i="123"/>
  <c r="I74" i="123"/>
  <c r="H115" i="123"/>
  <c r="I138" i="123"/>
  <c r="L155" i="123"/>
  <c r="H157" i="123"/>
  <c r="M12" i="120"/>
  <c r="M14" i="120"/>
  <c r="M16" i="120"/>
  <c r="M17" i="120"/>
  <c r="M19" i="120"/>
  <c r="M21" i="120"/>
  <c r="M23" i="120"/>
  <c r="M25" i="120"/>
  <c r="M26" i="120"/>
  <c r="M27" i="120"/>
  <c r="M29" i="120"/>
  <c r="M31" i="120"/>
  <c r="M33" i="120"/>
  <c r="D37" i="120"/>
  <c r="D5" i="123" s="1"/>
  <c r="M47" i="120"/>
  <c r="M49" i="120"/>
  <c r="M50" i="120"/>
  <c r="M51" i="120"/>
  <c r="M52" i="120"/>
  <c r="M54" i="120"/>
  <c r="M56" i="120"/>
  <c r="M57" i="120"/>
  <c r="M58" i="120"/>
  <c r="M69" i="120"/>
  <c r="M70" i="120"/>
  <c r="M71" i="120"/>
  <c r="M72" i="120"/>
  <c r="M73" i="120"/>
  <c r="M74" i="120"/>
  <c r="M76" i="120"/>
  <c r="M78" i="120"/>
  <c r="M92" i="120"/>
  <c r="M93" i="120"/>
  <c r="M94" i="120"/>
  <c r="M95" i="120"/>
  <c r="M96" i="120"/>
  <c r="M97" i="120"/>
  <c r="M98" i="120"/>
  <c r="M100" i="120"/>
  <c r="M101" i="120"/>
  <c r="L104" i="120"/>
  <c r="G12" i="126"/>
  <c r="K12" i="126" s="1"/>
  <c r="G13" i="126"/>
  <c r="K13" i="126" s="1"/>
  <c r="G14" i="126"/>
  <c r="K14" i="126" s="1"/>
  <c r="G15" i="126"/>
  <c r="K15" i="126" s="1"/>
  <c r="G18" i="126"/>
  <c r="K18" i="126" s="1"/>
  <c r="G19" i="126"/>
  <c r="K19" i="126" s="1"/>
  <c r="G22" i="126"/>
  <c r="K22" i="126" s="1"/>
  <c r="G23" i="126"/>
  <c r="K23" i="126" s="1"/>
  <c r="F26" i="126"/>
  <c r="H26" i="126"/>
  <c r="J26" i="126"/>
  <c r="I20" i="125" l="1"/>
  <c r="M34" i="120"/>
  <c r="M82" i="120"/>
  <c r="M59" i="120"/>
  <c r="M105" i="120"/>
  <c r="N125" i="120" s="1"/>
  <c r="K135" i="123"/>
  <c r="J135" i="123"/>
  <c r="J131" i="123"/>
  <c r="K131" i="123"/>
  <c r="J138" i="123"/>
  <c r="K138" i="123"/>
  <c r="K134" i="123"/>
  <c r="J134" i="123"/>
  <c r="J140" i="123"/>
  <c r="K140" i="123"/>
  <c r="J136" i="123"/>
  <c r="K136" i="123"/>
  <c r="J132" i="123"/>
  <c r="K132" i="123"/>
  <c r="K137" i="123"/>
  <c r="J137" i="123"/>
  <c r="K133" i="123"/>
  <c r="J133" i="123"/>
  <c r="K139" i="123"/>
  <c r="J139" i="123"/>
  <c r="J73" i="123"/>
  <c r="K73" i="123"/>
  <c r="J71" i="123"/>
  <c r="K71" i="123"/>
  <c r="J61" i="123"/>
  <c r="K61" i="123"/>
  <c r="M61" i="123" s="1"/>
  <c r="K74" i="123"/>
  <c r="J74" i="123"/>
  <c r="M74" i="123" s="1"/>
  <c r="I39" i="124"/>
  <c r="K11" i="124"/>
  <c r="L22" i="126"/>
  <c r="I22" i="126"/>
  <c r="L16" i="126"/>
  <c r="L20" i="126"/>
  <c r="L18" i="126"/>
  <c r="I18" i="126"/>
  <c r="I19" i="126"/>
  <c r="L19" i="126"/>
  <c r="I14" i="126"/>
  <c r="L14" i="126"/>
  <c r="G26" i="126"/>
  <c r="I15" i="126"/>
  <c r="L15" i="126"/>
  <c r="L13" i="126"/>
  <c r="I13" i="126"/>
  <c r="I12" i="126"/>
  <c r="L12" i="126" s="1"/>
  <c r="P26" i="124"/>
  <c r="I67" i="124"/>
  <c r="Q39" i="124"/>
  <c r="D82" i="123"/>
  <c r="J11" i="124"/>
  <c r="K63" i="124"/>
  <c r="L63" i="124" s="1"/>
  <c r="J63" i="124"/>
  <c r="K62" i="124"/>
  <c r="J62" i="124"/>
  <c r="J15" i="124"/>
  <c r="K15" i="124"/>
  <c r="J78" i="123"/>
  <c r="K12" i="123"/>
  <c r="J115" i="123"/>
  <c r="K115" i="123"/>
  <c r="H158" i="123"/>
  <c r="I115" i="123"/>
  <c r="H155" i="123"/>
  <c r="I157" i="123"/>
  <c r="I43" i="123"/>
  <c r="I79" i="123"/>
  <c r="D62" i="120"/>
  <c r="D85" i="120" s="1"/>
  <c r="M71" i="123" l="1"/>
  <c r="M73" i="123"/>
  <c r="M104" i="120"/>
  <c r="L15" i="124"/>
  <c r="J39" i="124"/>
  <c r="K39" i="124"/>
  <c r="L11" i="124"/>
  <c r="M138" i="123"/>
  <c r="I26" i="126"/>
  <c r="K26" i="126"/>
  <c r="J67" i="124"/>
  <c r="L23" i="126"/>
  <c r="L26" i="126" s="1"/>
  <c r="D46" i="123"/>
  <c r="D122" i="123"/>
  <c r="M136" i="123"/>
  <c r="M115" i="123"/>
  <c r="M131" i="123"/>
  <c r="J79" i="123"/>
  <c r="M134" i="123"/>
  <c r="M139" i="123"/>
  <c r="M133" i="123"/>
  <c r="M137" i="123"/>
  <c r="M27" i="123"/>
  <c r="M30" i="123"/>
  <c r="M78" i="123"/>
  <c r="K67" i="124"/>
  <c r="L62" i="124"/>
  <c r="L67" i="124" s="1"/>
  <c r="M132" i="123"/>
  <c r="J43" i="123"/>
  <c r="M12" i="123"/>
  <c r="J157" i="123"/>
  <c r="K79" i="123"/>
  <c r="M140" i="123"/>
  <c r="K43" i="123"/>
  <c r="K157" i="123"/>
  <c r="M135" i="123"/>
  <c r="M129" i="123"/>
  <c r="I155" i="123"/>
  <c r="I158" i="123"/>
  <c r="L39" i="124" l="1"/>
  <c r="R11" i="124"/>
  <c r="M43" i="123"/>
  <c r="M79" i="123"/>
  <c r="M167" i="123"/>
  <c r="M157" i="123"/>
  <c r="K155" i="123"/>
  <c r="K158" i="123"/>
  <c r="K159" i="123"/>
  <c r="J159" i="123"/>
  <c r="J158" i="123"/>
  <c r="J155" i="123"/>
  <c r="K170" i="123" l="1"/>
  <c r="M155" i="123"/>
</calcChain>
</file>

<file path=xl/sharedStrings.xml><?xml version="1.0" encoding="utf-8"?>
<sst xmlns="http://schemas.openxmlformats.org/spreadsheetml/2006/main" count="844" uniqueCount="495">
  <si>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</si>
  <si>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</si>
  <si>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</si>
  <si>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</si>
  <si>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</si>
  <si>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</si>
  <si>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</si>
  <si>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</si>
  <si>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</si>
  <si>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</si>
  <si>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</si>
  <si>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</si>
  <si>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</si>
  <si>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</si>
  <si>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</si>
  <si>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</si>
  <si>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</si>
  <si>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</si>
  <si>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</si>
  <si>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</si>
  <si>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</si>
  <si>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</si>
  <si>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</si>
  <si>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</si>
  <si>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</si>
  <si>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</si>
  <si>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</si>
  <si>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</si>
  <si>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</si>
  <si>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</si>
  <si>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</si>
  <si>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</si>
  <si>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</si>
  <si>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</si>
  <si>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</si>
  <si>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</si>
  <si>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</si>
  <si>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</si>
  <si>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</si>
  <si>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</si>
  <si>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</si>
  <si>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</si>
  <si>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</si>
  <si>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</si>
  <si>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</si>
  <si>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</si>
  <si>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</si>
  <si>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</si>
  <si>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</si>
  <si>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</si>
  <si>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</si>
  <si>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</si>
  <si>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</si>
  <si>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</si>
  <si>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</si>
  <si>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</si>
  <si>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</si>
  <si>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</si>
  <si>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</si>
  <si>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</si>
  <si>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</si>
  <si>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</si>
  <si>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</si>
  <si>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</si>
  <si>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</si>
  <si>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</si>
  <si>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</si>
  <si>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</si>
  <si>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</si>
  <si>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</si>
  <si>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</si>
  <si>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</si>
  <si>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</si>
  <si>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</si>
  <si>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</si>
  <si>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</si>
  <si>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</si>
  <si>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</si>
  <si>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</si>
  <si>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</si>
  <si>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</si>
  <si>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</si>
  <si>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CONSERJE</t>
  </si>
  <si>
    <t>HERNANDEZ GARCIA AGUSTIN</t>
  </si>
  <si>
    <t>RAMIREZ FLORES EVA</t>
  </si>
  <si>
    <t>ENC. UNIDAD DEPORTIVA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</si>
  <si>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</si>
  <si>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</si>
  <si>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</si>
  <si>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</si>
  <si>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</si>
  <si>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</si>
  <si>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</si>
  <si>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</si>
  <si>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</si>
  <si>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</si>
  <si>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</si>
  <si>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</si>
  <si>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</si>
  <si>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</si>
  <si>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</si>
  <si>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</si>
  <si>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</si>
  <si>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</si>
  <si>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</si>
  <si>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</si>
  <si>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</si>
  <si>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</si>
  <si>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</si>
  <si>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</si>
  <si>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</si>
  <si>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</si>
  <si>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</si>
  <si>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</si>
  <si>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</si>
  <si>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</si>
  <si>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</si>
  <si>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</si>
  <si>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</si>
  <si>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</si>
  <si>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</si>
  <si>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</si>
  <si>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</si>
  <si>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</si>
  <si>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</si>
  <si>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</si>
  <si>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</si>
  <si>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</si>
  <si>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</si>
  <si>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</si>
  <si>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</si>
  <si>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</si>
  <si>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</si>
  <si>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</si>
  <si>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</si>
  <si>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</si>
  <si>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</si>
  <si>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</si>
  <si>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</si>
  <si>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</si>
  <si>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</si>
  <si>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</si>
  <si>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</si>
  <si>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</si>
  <si>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</si>
  <si>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</si>
  <si>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</si>
  <si>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</si>
  <si>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</si>
  <si>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</si>
  <si>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</si>
  <si>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</si>
  <si>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</si>
  <si>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</si>
  <si>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</si>
  <si>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</si>
  <si>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</si>
  <si>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</si>
  <si>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</si>
  <si>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</si>
  <si>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</si>
  <si>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</si>
  <si>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</si>
  <si>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</si>
  <si>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</si>
  <si>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</si>
  <si>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</si>
  <si>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</si>
  <si>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</si>
  <si>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</si>
  <si>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</si>
  <si>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</si>
  <si>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</si>
  <si>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</si>
  <si>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</si>
  <si>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</si>
  <si>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</si>
  <si>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</si>
  <si>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</si>
  <si>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JOEL ARELLANO SALINAS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</si>
  <si>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</si>
  <si>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</si>
  <si>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</si>
  <si>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</si>
  <si>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</si>
  <si>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</si>
  <si>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</si>
  <si>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</si>
  <si>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</si>
  <si>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</si>
  <si>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</si>
  <si>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</si>
  <si>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</si>
  <si>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L.A.E. MELISSA ISABEL MOLINA SANDOVAL</t>
  </si>
  <si>
    <t>COMANDANTE OPERATIVO</t>
  </si>
  <si>
    <t>GARCIA RUIZ FRANCISCO FELIX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</si>
  <si>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</si>
  <si>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</si>
  <si>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</si>
  <si>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</si>
  <si>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</si>
  <si>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</si>
  <si>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</si>
  <si>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</si>
  <si>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</si>
  <si>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</si>
  <si>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</si>
  <si>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GOMEZ IÑIGUEZ VANESSA</t>
  </si>
  <si>
    <t>JEFA DE GABINETE</t>
  </si>
  <si>
    <t>MOLINA SANDOVAL MELISSA ISABEL</t>
  </si>
  <si>
    <t>ENC. DE CATASTRO E IMPUESTO PREDIAL</t>
  </si>
  <si>
    <t>DESARROLLO RURAL Y ECONOMICO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</si>
  <si>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</si>
  <si>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</si>
  <si>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</si>
  <si>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</si>
  <si>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</si>
  <si>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</si>
  <si>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</si>
  <si>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</si>
  <si>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</si>
  <si>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</si>
  <si>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</si>
  <si>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</si>
  <si>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</si>
  <si>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</si>
  <si>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</si>
  <si>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</si>
  <si>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</si>
  <si>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</si>
  <si>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</si>
  <si>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</si>
  <si>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</si>
  <si>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</si>
  <si>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MEZA RAMIREZ FELIPE DE JESUS</t>
  </si>
  <si>
    <t>LOPEZ ULLOA GERARDO</t>
  </si>
  <si>
    <t>RUBIO MALDONADO GILBERTO</t>
  </si>
  <si>
    <t>AUX. DE REGISTRO CIVIL</t>
  </si>
  <si>
    <t>SANDOVAL GONZALEZ VERONICA</t>
  </si>
  <si>
    <t>VARGAS GARCIA ANTONIO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</si>
  <si>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</si>
  <si>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</si>
  <si>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</si>
  <si>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</si>
  <si>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</si>
  <si>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</si>
  <si>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</si>
  <si>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</si>
  <si>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</si>
  <si>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</si>
  <si>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</si>
  <si>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</si>
  <si>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</si>
  <si>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</si>
  <si>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</si>
  <si>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MARTINEZ AVALOS ITZEL GUADALUPE</t>
  </si>
  <si>
    <t>AUX. EN CONTRALORIA MPAL</t>
  </si>
  <si>
    <t>DONATO ORNELAS NARCISA ELIZABETH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</si>
  <si>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</si>
  <si>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</si>
  <si>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</si>
  <si>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</si>
  <si>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</si>
  <si>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</si>
  <si>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</si>
  <si>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MEZA GONZALEZ JOSEFINA MAHELET</t>
  </si>
  <si>
    <t>GARCIA GAMBOA MARIA DE JESUS</t>
  </si>
  <si>
    <t>MONTES DOMINGUEZ FILIBERTO</t>
  </si>
  <si>
    <t>MUNICIPIO  DE : SAN JUANITO DE ESCOBEDO JALISCO</t>
  </si>
  <si>
    <t>NAVARRO MONTES JAIRO ILDEFONSO</t>
  </si>
  <si>
    <t xml:space="preserve">LOPEZ GOMEZ JOSE RAMON </t>
  </si>
  <si>
    <t>COVARRUBIAS MARTINEZ BENITO</t>
  </si>
  <si>
    <t>MORENO LORETO JOSE DOROTEO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</si>
  <si>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</si>
  <si>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</si>
  <si>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</si>
  <si>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</si>
  <si>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</si>
  <si>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</si>
  <si>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</si>
  <si>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</si>
  <si>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</si>
  <si>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Nombre del Trabajador</t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</si>
  <si>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</si>
  <si>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</si>
  <si>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</si>
  <si>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</si>
  <si>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</si>
  <si>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</si>
  <si>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</si>
  <si>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</si>
  <si>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</si>
  <si>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</si>
  <si>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</si>
  <si>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</si>
  <si>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</si>
  <si>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</si>
  <si>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</si>
  <si>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</si>
  <si>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</si>
  <si>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</si>
  <si>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</si>
  <si>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</si>
  <si>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</si>
  <si>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</si>
  <si>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</si>
  <si>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</si>
  <si>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</si>
  <si>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</si>
  <si>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>MUNICIPIO DE SAN JUANITO DE ESCOBEDO JALISCO</t>
  </si>
  <si>
    <t>CALCULO MENSUAL DE I.S.R. x Salarios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</si>
  <si>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</si>
  <si>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</si>
  <si>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</si>
  <si>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</si>
  <si>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</si>
  <si>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</si>
  <si>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</si>
  <si>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</si>
  <si>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</si>
  <si>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</si>
  <si>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0209</t>
  </si>
  <si>
    <t>0210</t>
  </si>
  <si>
    <t>0211</t>
  </si>
  <si>
    <t>0051</t>
  </si>
  <si>
    <t>9033</t>
  </si>
  <si>
    <t>0068</t>
  </si>
  <si>
    <t>9013</t>
  </si>
  <si>
    <t>0157</t>
  </si>
  <si>
    <t>0065</t>
  </si>
  <si>
    <t>0070</t>
  </si>
  <si>
    <t>9011</t>
  </si>
  <si>
    <t>0025</t>
  </si>
  <si>
    <t>0043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</si>
  <si>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</si>
  <si>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</si>
  <si>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</si>
  <si>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</si>
  <si>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</si>
  <si>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</si>
  <si>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</si>
  <si>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</si>
  <si>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</si>
  <si>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</si>
  <si>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</si>
  <si>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</si>
  <si>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</si>
  <si>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</si>
  <si>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</si>
  <si>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</si>
  <si>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</si>
  <si>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</si>
  <si>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</si>
  <si>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</si>
  <si>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</si>
  <si>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</si>
  <si>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</si>
  <si>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</si>
  <si>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</si>
  <si>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</si>
  <si>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</si>
  <si>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</si>
  <si>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</si>
  <si>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</si>
  <si>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</si>
  <si>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</si>
  <si>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</si>
  <si>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</si>
  <si>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</si>
  <si>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</si>
  <si>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</si>
  <si>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</si>
  <si>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</si>
  <si>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</si>
  <si>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</si>
  <si>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</si>
  <si>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</si>
  <si>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9100</t>
  </si>
  <si>
    <t>9015</t>
  </si>
  <si>
    <t>9101</t>
  </si>
  <si>
    <t>9085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</si>
  <si>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</si>
  <si>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</si>
  <si>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</si>
  <si>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</si>
  <si>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</si>
  <si>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</si>
  <si>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</si>
  <si>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</si>
  <si>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</si>
  <si>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</si>
  <si>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</si>
  <si>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</si>
  <si>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</si>
  <si>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</si>
  <si>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</si>
  <si>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</si>
  <si>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</si>
  <si>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</si>
  <si>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</si>
  <si>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</si>
  <si>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</si>
  <si>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</si>
  <si>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</si>
  <si>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</si>
  <si>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</si>
  <si>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</si>
  <si>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9126</t>
  </si>
  <si>
    <t>9127</t>
  </si>
  <si>
    <t>9128</t>
  </si>
  <si>
    <t>9129</t>
  </si>
  <si>
    <t>9112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</si>
  <si>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</si>
  <si>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</si>
  <si>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</si>
  <si>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</si>
  <si>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</si>
  <si>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</si>
  <si>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</si>
  <si>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</si>
  <si>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</si>
  <si>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</si>
  <si>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</si>
  <si>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</si>
  <si>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9109</t>
  </si>
  <si>
    <t>0212</t>
  </si>
  <si>
    <t>9119</t>
  </si>
  <si>
    <t>9067</t>
  </si>
  <si>
    <t>9094</t>
  </si>
  <si>
    <t>0021</t>
  </si>
  <si>
    <t>0178</t>
  </si>
  <si>
    <t>0162</t>
  </si>
  <si>
    <t>0029</t>
  </si>
  <si>
    <t>0194</t>
  </si>
  <si>
    <t>0175</t>
  </si>
  <si>
    <t>0235</t>
  </si>
  <si>
    <t>0183</t>
  </si>
  <si>
    <t>0237</t>
  </si>
  <si>
    <t>0232</t>
  </si>
  <si>
    <t>0238</t>
  </si>
  <si>
    <t>0240</t>
  </si>
  <si>
    <t>0241</t>
  </si>
  <si>
    <t>0234</t>
  </si>
  <si>
    <t>0242</t>
  </si>
  <si>
    <t>0227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</si>
  <si>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</si>
  <si>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</si>
  <si>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</si>
  <si>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</si>
  <si>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</si>
  <si>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</si>
  <si>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</si>
  <si>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</si>
  <si>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</si>
  <si>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</si>
  <si>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</si>
  <si>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LOPEZ MEDINA JOSE CARLOS</t>
  </si>
  <si>
    <t>OPERADOR DE MOTOCONFORMADORA</t>
  </si>
  <si>
    <t>OPERADOR DE RETROEXAVADORA</t>
  </si>
  <si>
    <t>0134</t>
  </si>
  <si>
    <t>TEJEDA DE LA PAZ CLAUDIA</t>
  </si>
  <si>
    <t>FLORES CORONA ROBERTO CARLOS</t>
  </si>
  <si>
    <t>LOPEZ GARCIA IVAN</t>
  </si>
  <si>
    <t>ENC. DE ECA</t>
  </si>
  <si>
    <t>ECA</t>
  </si>
  <si>
    <t>FLOR RAMONA NUÑEZ GARCIA</t>
  </si>
  <si>
    <t>BECJ990411HJCNRN04</t>
  </si>
  <si>
    <t>ROUA020501HJCSLNA6</t>
  </si>
  <si>
    <t>AUJG951017HJCNMB06</t>
  </si>
  <si>
    <t>Publicadas en el D. O. F. el dia 11 de Enero de 2021</t>
  </si>
  <si>
    <t xml:space="preserve">               EJERCICIO 2021</t>
  </si>
  <si>
    <t>T ARIFA MENSUAL</t>
  </si>
  <si>
    <t>0248</t>
  </si>
  <si>
    <t>0249</t>
  </si>
  <si>
    <t>0250</t>
  </si>
  <si>
    <t>9036</t>
  </si>
  <si>
    <t>9139</t>
  </si>
  <si>
    <r>
      <t>( SUELDOS QUINCENALES)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</si>
  <si>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OCTAVIO RUIZ GARCIA</t>
  </si>
  <si>
    <t>JOSE ADRIAN RODRIGUEZ GARCIA</t>
  </si>
  <si>
    <t>COLI020224MJCRPSA7</t>
  </si>
  <si>
    <t>RICARDO GERMAN RODRIGUEZ</t>
  </si>
  <si>
    <t>OFICIAL MAYOR ADMINISTRATIVO</t>
  </si>
  <si>
    <t>SECRETARIA PARTICULAR</t>
  </si>
  <si>
    <t>LIC. VANESSA GOMEZ IÑIGUEZ</t>
  </si>
  <si>
    <t>MERCADO PEREZ VERONICA BEATRIZ</t>
  </si>
  <si>
    <t>PEREZ DIAZ MARIA DEL CARMEN</t>
  </si>
  <si>
    <t>NOMINA DE DIETAS 1RA QUINCENA DE MAYO DE 2021</t>
  </si>
  <si>
    <t>NOMINA 1RA QUINCENA DE MAYO DE 2021</t>
  </si>
  <si>
    <t>ENC. DE BOMBA SAN PEDRO</t>
  </si>
  <si>
    <t>SUELDOS 1RA QUINCENA DE MAYO DE 2021</t>
  </si>
  <si>
    <t>NOMINA 1RA QUINCENA DE MAYO DE  2021</t>
  </si>
  <si>
    <t>MUNICIPIO DE : SAN JUANITO DE ESCOBEDO, JALISCO</t>
  </si>
  <si>
    <t>DEPTO.DE 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</si>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</sst>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4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5" fillId="0" borderId="0"/>
    <xf numFmtId="164" fontId="1" fillId="0" borderId="0" applyFont="0" applyFill="0" applyBorder="0" applyAlignment="0" applyProtection="0"/>
  </cellStyleXfs>
  <cellXfs count="530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3" fillId="5" borderId="13" xfId="0" applyFont="1" applyFill="1" applyBorder="1" applyAlignment="1" applyProtection="1">
      <alignment horizontal="center"/>
    </xf>
    <xf numFmtId="0" fontId="24" fillId="5" borderId="13" xfId="0" applyFont="1" applyFill="1" applyBorder="1" applyAlignment="1" applyProtection="1">
      <alignment horizontal="center"/>
    </xf>
    <xf numFmtId="0" fontId="24" fillId="5" borderId="26" xfId="0" applyFont="1" applyFill="1" applyBorder="1" applyAlignment="1" applyProtection="1">
      <alignment horizontal="center"/>
    </xf>
    <xf numFmtId="0" fontId="25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5" xfId="2" applyNumberFormat="1" applyFont="1" applyFill="1" applyBorder="1" applyAlignment="1" applyProtection="1">
      <alignment horizontal="right"/>
      <protection hidden="1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6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1" fillId="0" borderId="38" xfId="0" applyFont="1" applyFill="1" applyBorder="1" applyAlignment="1" applyProtection="1">
      <alignment horizontal="center"/>
    </xf>
    <xf numFmtId="0" fontId="21" fillId="0" borderId="24" xfId="0" applyFont="1" applyFill="1" applyBorder="1" applyAlignment="1" applyProtection="1">
      <alignment horizontal="center"/>
    </xf>
    <xf numFmtId="0" fontId="21" fillId="0" borderId="39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1" fillId="0" borderId="40" xfId="0" applyFont="1" applyFill="1" applyBorder="1" applyAlignment="1" applyProtection="1">
      <alignment horizontal="center"/>
    </xf>
    <xf numFmtId="0" fontId="22" fillId="0" borderId="8" xfId="0" applyFont="1" applyBorder="1" applyAlignment="1" applyProtection="1">
      <alignment horizontal="left"/>
      <protection locked="0"/>
    </xf>
    <xf numFmtId="0" fontId="22" fillId="0" borderId="35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3" fontId="22" fillId="0" borderId="2" xfId="2" applyFont="1" applyFill="1" applyBorder="1" applyAlignment="1" applyProtection="1">
      <alignment horizontal="right"/>
      <protection hidden="1"/>
    </xf>
    <xf numFmtId="168" fontId="22" fillId="0" borderId="2" xfId="2" applyNumberFormat="1" applyFont="1" applyFill="1" applyBorder="1" applyAlignment="1" applyProtection="1">
      <alignment horizontal="right"/>
      <protection hidden="1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35" xfId="0" applyFont="1" applyFill="1" applyBorder="1" applyAlignment="1" applyProtection="1">
      <alignment horizontal="left"/>
      <protection locked="0"/>
    </xf>
    <xf numFmtId="0" fontId="22" fillId="0" borderId="9" xfId="0" applyFont="1" applyFill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left"/>
      <protection locked="0"/>
    </xf>
    <xf numFmtId="43" fontId="22" fillId="0" borderId="2" xfId="2" applyFont="1" applyFill="1" applyBorder="1" applyAlignment="1" applyProtection="1">
      <alignment horizontal="right"/>
    </xf>
    <xf numFmtId="0" fontId="21" fillId="0" borderId="21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22" fillId="0" borderId="25" xfId="0" applyFont="1" applyBorder="1" applyAlignment="1" applyProtection="1">
      <alignment horizontal="left"/>
      <protection locked="0"/>
    </xf>
    <xf numFmtId="0" fontId="21" fillId="0" borderId="41" xfId="0" applyFont="1" applyBorder="1" applyAlignment="1" applyProtection="1">
      <alignment horizontal="left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168" fontId="22" fillId="0" borderId="16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43" fontId="22" fillId="0" borderId="16" xfId="2" applyFont="1" applyFill="1" applyBorder="1" applyAlignment="1" applyProtection="1">
      <alignment horizontal="right"/>
    </xf>
    <xf numFmtId="168" fontId="22" fillId="0" borderId="16" xfId="2" applyNumberFormat="1" applyFont="1" applyBorder="1" applyAlignment="1" applyProtection="1">
      <alignment horizontal="right"/>
      <protection hidden="1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/>
      <protection locked="0"/>
    </xf>
    <xf numFmtId="43" fontId="22" fillId="0" borderId="22" xfId="2" applyFont="1" applyFill="1" applyBorder="1" applyAlignment="1" applyProtection="1">
      <alignment horizontal="right"/>
    </xf>
    <xf numFmtId="0" fontId="21" fillId="0" borderId="21" xfId="0" applyFont="1" applyFill="1" applyBorder="1" applyAlignment="1" applyProtection="1">
      <alignment horizontal="left"/>
      <protection locked="0"/>
    </xf>
    <xf numFmtId="0" fontId="22" fillId="0" borderId="41" xfId="0" applyFont="1" applyBorder="1" applyAlignment="1" applyProtection="1">
      <alignment horizontal="center"/>
      <protection locked="0"/>
    </xf>
    <xf numFmtId="43" fontId="22" fillId="0" borderId="41" xfId="2" applyFont="1" applyFill="1" applyBorder="1" applyAlignment="1" applyProtection="1">
      <alignment horizontal="right"/>
    </xf>
    <xf numFmtId="168" fontId="22" fillId="0" borderId="21" xfId="2" applyNumberFormat="1" applyFont="1" applyFill="1" applyBorder="1" applyAlignment="1" applyProtection="1">
      <alignment horizontal="right"/>
      <protection hidden="1"/>
    </xf>
    <xf numFmtId="0" fontId="22" fillId="0" borderId="32" xfId="0" applyFont="1" applyBorder="1" applyAlignment="1" applyProtection="1">
      <alignment horizontal="left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 wrapText="1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7" fillId="0" borderId="0" xfId="0" applyNumberFormat="1" applyFont="1" applyProtection="1"/>
    <xf numFmtId="0" fontId="27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20" fillId="0" borderId="35" xfId="0" applyFont="1" applyBorder="1" applyAlignment="1" applyProtection="1">
      <alignment horizontal="left" wrapText="1"/>
      <protection locked="0"/>
    </xf>
    <xf numFmtId="0" fontId="20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0" fillId="0" borderId="17" xfId="0" applyBorder="1"/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2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3" fillId="0" borderId="45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6" xfId="0" applyFont="1" applyFill="1" applyBorder="1" applyAlignment="1" applyProtection="1">
      <alignment horizontal="center"/>
    </xf>
    <xf numFmtId="43" fontId="28" fillId="0" borderId="0" xfId="0" applyNumberFormat="1" applyFont="1" applyFill="1" applyProtection="1"/>
    <xf numFmtId="168" fontId="28" fillId="0" borderId="0" xfId="0" applyNumberFormat="1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28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0" fontId="17" fillId="0" borderId="44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0" fontId="17" fillId="0" borderId="47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48" xfId="0" applyFont="1" applyBorder="1" applyProtection="1">
      <protection hidden="1"/>
    </xf>
    <xf numFmtId="0" fontId="17" fillId="0" borderId="47" xfId="0" applyFont="1" applyBorder="1" applyProtection="1">
      <protection hidden="1"/>
    </xf>
    <xf numFmtId="167" fontId="35" fillId="0" borderId="0" xfId="5" applyProtection="1"/>
    <xf numFmtId="4" fontId="1" fillId="0" borderId="0" xfId="5" applyNumberFormat="1" applyFont="1" applyProtection="1"/>
    <xf numFmtId="4" fontId="21" fillId="7" borderId="0" xfId="5" applyNumberFormat="1" applyFont="1" applyFill="1" applyAlignment="1" applyProtection="1">
      <alignment horizontal="centerContinuous"/>
    </xf>
    <xf numFmtId="4" fontId="1" fillId="7" borderId="0" xfId="5" applyNumberFormat="1" applyFont="1" applyFill="1" applyAlignment="1" applyProtection="1">
      <alignment horizontal="centerContinuous"/>
    </xf>
    <xf numFmtId="4" fontId="19" fillId="7" borderId="0" xfId="5" applyNumberFormat="1" applyFont="1" applyFill="1" applyAlignment="1" applyProtection="1">
      <alignment horizontal="centerContinuous"/>
    </xf>
    <xf numFmtId="4" fontId="13" fillId="7" borderId="0" xfId="5" applyNumberFormat="1" applyFont="1" applyFill="1" applyAlignment="1" applyProtection="1">
      <alignment horizontal="centerContinuous"/>
    </xf>
    <xf numFmtId="167" fontId="35" fillId="7" borderId="0" xfId="5" applyFill="1" applyAlignment="1" applyProtection="1">
      <alignment horizontal="centerContinuous"/>
    </xf>
    <xf numFmtId="49" fontId="36" fillId="7" borderId="0" xfId="5" applyNumberFormat="1" applyFont="1" applyFill="1" applyAlignment="1" applyProtection="1">
      <alignment horizontal="centerContinuous"/>
    </xf>
    <xf numFmtId="167" fontId="35" fillId="0" borderId="0" xfId="5" applyBorder="1" applyProtection="1"/>
    <xf numFmtId="4" fontId="19" fillId="0" borderId="0" xfId="5" applyNumberFormat="1" applyFont="1" applyBorder="1" applyAlignment="1" applyProtection="1">
      <alignment horizontal="centerContinuous"/>
    </xf>
    <xf numFmtId="4" fontId="20" fillId="0" borderId="0" xfId="5" applyNumberFormat="1" applyFont="1" applyBorder="1" applyProtection="1"/>
    <xf numFmtId="4" fontId="20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6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9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35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35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51" xfId="6" applyNumberFormat="1" applyFont="1" applyBorder="1" applyProtection="1"/>
    <xf numFmtId="168" fontId="6" fillId="0" borderId="52" xfId="6" applyNumberFormat="1" applyFont="1" applyBorder="1" applyProtection="1"/>
    <xf numFmtId="167" fontId="39" fillId="8" borderId="53" xfId="5" applyFont="1" applyFill="1" applyBorder="1" applyProtection="1"/>
    <xf numFmtId="43" fontId="39" fillId="8" borderId="54" xfId="2" applyFont="1" applyFill="1" applyBorder="1" applyProtection="1"/>
    <xf numFmtId="0" fontId="40" fillId="0" borderId="0" xfId="0" applyFont="1" applyProtection="1"/>
    <xf numFmtId="4" fontId="13" fillId="9" borderId="0" xfId="5" applyNumberFormat="1" applyFont="1" applyFill="1" applyProtection="1"/>
    <xf numFmtId="4" fontId="1" fillId="9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44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2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1" fillId="0" borderId="10" xfId="2" applyFont="1" applyFill="1" applyBorder="1" applyAlignment="1" applyProtection="1">
      <alignment horizontal="center"/>
    </xf>
    <xf numFmtId="43" fontId="21" fillId="0" borderId="40" xfId="2" applyFont="1" applyFill="1" applyBorder="1" applyAlignment="1" applyProtection="1">
      <alignment horizontal="center"/>
    </xf>
    <xf numFmtId="43" fontId="22" fillId="0" borderId="16" xfId="2" applyFont="1" applyFill="1" applyBorder="1" applyAlignment="1" applyProtection="1">
      <alignment horizontal="right"/>
      <protection hidden="1"/>
    </xf>
    <xf numFmtId="43" fontId="22" fillId="0" borderId="16" xfId="2" applyFont="1" applyBorder="1" applyAlignment="1" applyProtection="1">
      <alignment horizontal="right"/>
      <protection hidden="1"/>
    </xf>
    <xf numFmtId="43" fontId="22" fillId="0" borderId="43" xfId="2" applyFont="1" applyFill="1" applyBorder="1" applyAlignment="1" applyProtection="1">
      <alignment horizontal="right"/>
      <protection hidden="1"/>
    </xf>
    <xf numFmtId="43" fontId="22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8" fillId="0" borderId="0" xfId="2" applyFont="1" applyProtection="1"/>
    <xf numFmtId="43" fontId="28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44" fillId="0" borderId="0" xfId="0" applyNumberFormat="1" applyFont="1" applyProtection="1">
      <protection hidden="1"/>
    </xf>
    <xf numFmtId="49" fontId="44" fillId="0" borderId="11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hidden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0" borderId="20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0" xfId="0" applyFont="1" applyBorder="1" applyAlignment="1" applyProtection="1">
      <alignment horizontal="center"/>
      <protection hidden="1"/>
    </xf>
    <xf numFmtId="168" fontId="26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2" fillId="0" borderId="34" xfId="0" applyNumberFormat="1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left"/>
      <protection locked="0"/>
    </xf>
    <xf numFmtId="168" fontId="22" fillId="0" borderId="2" xfId="2" applyNumberFormat="1" applyFont="1" applyBorder="1" applyAlignment="1" applyProtection="1">
      <alignment horizontal="right"/>
      <protection hidden="1"/>
    </xf>
    <xf numFmtId="43" fontId="22" fillId="0" borderId="2" xfId="2" applyFont="1" applyBorder="1" applyAlignment="1" applyProtection="1">
      <alignment horizontal="right"/>
      <protection hidden="1"/>
    </xf>
    <xf numFmtId="0" fontId="22" fillId="0" borderId="3" xfId="0" applyFont="1" applyFill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 wrapText="1"/>
      <protection locked="0"/>
    </xf>
    <xf numFmtId="0" fontId="22" fillId="0" borderId="3" xfId="0" applyFont="1" applyBorder="1" applyAlignment="1" applyProtection="1">
      <alignment horizontal="center"/>
      <protection locked="0"/>
    </xf>
    <xf numFmtId="43" fontId="22" fillId="0" borderId="3" xfId="2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/>
      <protection locked="0"/>
    </xf>
    <xf numFmtId="0" fontId="21" fillId="0" borderId="3" xfId="0" applyFont="1" applyFill="1" applyBorder="1" applyAlignment="1" applyProtection="1">
      <alignment horizontal="left"/>
      <protection hidden="1"/>
    </xf>
    <xf numFmtId="0" fontId="21" fillId="0" borderId="3" xfId="0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center"/>
      <protection hidden="1"/>
    </xf>
    <xf numFmtId="43" fontId="21" fillId="0" borderId="3" xfId="2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left" wrapText="1"/>
      <protection locked="0"/>
    </xf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left" wrapText="1"/>
      <protection locked="0"/>
    </xf>
    <xf numFmtId="43" fontId="17" fillId="0" borderId="0" xfId="2" applyFont="1" applyFill="1" applyBorder="1" applyAlignment="1" applyProtection="1">
      <alignment horizontal="right"/>
      <protection hidden="1"/>
    </xf>
    <xf numFmtId="0" fontId="0" fillId="0" borderId="23" xfId="0" applyBorder="1"/>
    <xf numFmtId="49" fontId="5" fillId="0" borderId="13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  <protection locked="0"/>
    </xf>
    <xf numFmtId="1" fontId="5" fillId="0" borderId="13" xfId="0" applyNumberFormat="1" applyFont="1" applyBorder="1" applyAlignment="1" applyProtection="1">
      <alignment horizontal="center"/>
      <protection locked="0"/>
    </xf>
    <xf numFmtId="168" fontId="5" fillId="0" borderId="13" xfId="2" applyNumberFormat="1" applyFont="1" applyFill="1" applyBorder="1" applyAlignment="1" applyProtection="1">
      <alignment horizontal="right"/>
    </xf>
    <xf numFmtId="168" fontId="5" fillId="0" borderId="13" xfId="2" applyNumberFormat="1" applyFont="1" applyBorder="1" applyAlignment="1" applyProtection="1">
      <alignment horizontal="right"/>
    </xf>
    <xf numFmtId="43" fontId="5" fillId="0" borderId="13" xfId="2" applyFont="1" applyBorder="1" applyAlignment="1" applyProtection="1">
      <alignment horizontal="right"/>
    </xf>
    <xf numFmtId="168" fontId="1" fillId="0" borderId="13" xfId="2" applyNumberFormat="1" applyFont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Protection="1"/>
    <xf numFmtId="49" fontId="1" fillId="0" borderId="3" xfId="0" applyNumberFormat="1" applyFont="1" applyBorder="1" applyAlignment="1" applyProtection="1">
      <alignment horizontal="center"/>
      <protection locked="0"/>
    </xf>
    <xf numFmtId="49" fontId="11" fillId="0" borderId="13" xfId="0" applyNumberFormat="1" applyFont="1" applyBorder="1" applyAlignment="1" applyProtection="1">
      <alignment horizontal="center"/>
    </xf>
    <xf numFmtId="167" fontId="19" fillId="0" borderId="0" xfId="5" applyFont="1" applyAlignment="1" applyProtection="1">
      <alignment horizontal="centerContinuous"/>
    </xf>
    <xf numFmtId="0" fontId="14" fillId="0" borderId="2" xfId="0" applyFont="1" applyFill="1" applyBorder="1" applyAlignment="1" applyProtection="1">
      <alignment horizontal="left" wrapText="1"/>
      <protection locked="0"/>
    </xf>
    <xf numFmtId="43" fontId="1" fillId="0" borderId="2" xfId="2" applyFont="1" applyBorder="1" applyAlignment="1" applyProtection="1">
      <alignment horizontal="center"/>
      <protection locked="0"/>
    </xf>
    <xf numFmtId="168" fontId="45" fillId="0" borderId="0" xfId="0" applyNumberFormat="1" applyFont="1" applyProtection="1">
      <protection hidden="1"/>
    </xf>
    <xf numFmtId="43" fontId="45" fillId="0" borderId="0" xfId="2" applyFont="1" applyProtection="1">
      <protection hidden="1"/>
    </xf>
    <xf numFmtId="0" fontId="45" fillId="0" borderId="0" xfId="0" applyFont="1" applyProtection="1">
      <protection hidden="1"/>
    </xf>
    <xf numFmtId="168" fontId="27" fillId="4" borderId="0" xfId="0" applyNumberFormat="1" applyFont="1" applyFill="1" applyProtection="1">
      <protection hidden="1"/>
    </xf>
    <xf numFmtId="43" fontId="27" fillId="4" borderId="0" xfId="2" applyFont="1" applyFill="1" applyProtection="1">
      <protection hidden="1"/>
    </xf>
    <xf numFmtId="168" fontId="45" fillId="4" borderId="0" xfId="0" applyNumberFormat="1" applyFont="1" applyFill="1" applyProtection="1">
      <protection hidden="1"/>
    </xf>
    <xf numFmtId="43" fontId="45" fillId="4" borderId="0" xfId="2" applyFont="1" applyFill="1" applyProtection="1">
      <protection hidden="1"/>
    </xf>
    <xf numFmtId="168" fontId="0" fillId="4" borderId="0" xfId="0" applyNumberFormat="1" applyFill="1" applyProtection="1">
      <protection hidden="1"/>
    </xf>
    <xf numFmtId="168" fontId="1" fillId="0" borderId="32" xfId="2" applyNumberFormat="1" applyFont="1" applyFill="1" applyBorder="1" applyAlignment="1" applyProtection="1">
      <alignment horizontal="right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9" fillId="0" borderId="49" xfId="0" applyFont="1" applyBorder="1" applyAlignment="1" applyProtection="1">
      <alignment horizontal="center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28" xfId="0" applyFont="1" applyBorder="1" applyAlignment="1" applyProtection="1">
      <alignment horizontal="center"/>
      <protection hidden="1"/>
    </xf>
    <xf numFmtId="0" fontId="3" fillId="5" borderId="49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30" fillId="0" borderId="11" xfId="0" applyFont="1" applyBorder="1" applyAlignment="1" applyProtection="1">
      <alignment horizontal="center"/>
      <protection hidden="1"/>
    </xf>
    <xf numFmtId="0" fontId="30" fillId="0" borderId="6" xfId="0" applyFont="1" applyBorder="1" applyAlignment="1" applyProtection="1">
      <alignment horizontal="center"/>
      <protection hidden="1"/>
    </xf>
    <xf numFmtId="0" fontId="30" fillId="0" borderId="12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50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2" fillId="0" borderId="14" xfId="0" applyFont="1" applyBorder="1" applyAlignment="1" applyProtection="1">
      <alignment horizontal="center"/>
      <protection hidden="1"/>
    </xf>
    <xf numFmtId="0" fontId="32" fillId="0" borderId="23" xfId="0" applyFont="1" applyBorder="1" applyAlignment="1" applyProtection="1">
      <alignment horizontal="center"/>
      <protection hidden="1"/>
    </xf>
    <xf numFmtId="0" fontId="33" fillId="2" borderId="0" xfId="0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  <protection locked="0"/>
    </xf>
    <xf numFmtId="0" fontId="33" fillId="2" borderId="11" xfId="0" applyFont="1" applyFill="1" applyBorder="1" applyAlignment="1" applyProtection="1">
      <alignment horizontal="center"/>
    </xf>
    <xf numFmtId="0" fontId="33" fillId="2" borderId="6" xfId="0" applyFont="1" applyFill="1" applyBorder="1" applyAlignment="1" applyProtection="1">
      <alignment horizontal="center"/>
    </xf>
    <xf numFmtId="0" fontId="33" fillId="2" borderId="12" xfId="0" applyFont="1" applyFill="1" applyBorder="1" applyAlignment="1" applyProtection="1">
      <alignment horizontal="center"/>
    </xf>
    <xf numFmtId="0" fontId="33" fillId="2" borderId="14" xfId="0" applyFont="1" applyFill="1" applyBorder="1" applyAlignment="1" applyProtection="1">
      <alignment horizontal="center"/>
      <protection locked="0"/>
    </xf>
    <xf numFmtId="0" fontId="33" fillId="2" borderId="23" xfId="0" applyFont="1" applyFill="1" applyBorder="1" applyAlignment="1" applyProtection="1">
      <alignment horizontal="center"/>
      <protection locked="0"/>
    </xf>
    <xf numFmtId="0" fontId="3" fillId="5" borderId="49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3" fillId="2" borderId="49" xfId="0" applyFont="1" applyFill="1" applyBorder="1" applyAlignment="1" applyProtection="1">
      <alignment horizontal="center"/>
      <protection locked="0"/>
    </xf>
    <xf numFmtId="0" fontId="33" fillId="2" borderId="15" xfId="0" applyFont="1" applyFill="1" applyBorder="1" applyAlignment="1" applyProtection="1">
      <alignment horizontal="center"/>
      <protection locked="0"/>
    </xf>
    <xf numFmtId="0" fontId="33" fillId="2" borderId="28" xfId="0" applyFont="1" applyFill="1" applyBorder="1" applyAlignment="1" applyProtection="1">
      <alignment horizontal="center"/>
      <protection locked="0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3" fillId="2" borderId="14" xfId="0" applyFont="1" applyFill="1" applyBorder="1" applyAlignment="1" applyProtection="1">
      <alignment horizontal="center"/>
    </xf>
    <xf numFmtId="0" fontId="33" fillId="2" borderId="23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34" fillId="0" borderId="14" xfId="0" applyFont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34" fillId="0" borderId="23" xfId="0" applyFont="1" applyBorder="1" applyAlignment="1" applyProtection="1">
      <alignment horizontal="center"/>
      <protection hidden="1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4" fillId="0" borderId="11" xfId="0" applyFont="1" applyBorder="1" applyAlignment="1" applyProtection="1">
      <alignment horizontal="center"/>
      <protection hidden="1"/>
    </xf>
    <xf numFmtId="0" fontId="34" fillId="0" borderId="6" xfId="0" applyFont="1" applyBorder="1" applyAlignment="1" applyProtection="1">
      <alignment horizontal="center"/>
      <protection hidden="1"/>
    </xf>
    <xf numFmtId="0" fontId="34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4" fillId="0" borderId="49" xfId="0" applyFont="1" applyBorder="1" applyAlignment="1" applyProtection="1">
      <alignment horizontal="center"/>
      <protection hidden="1"/>
    </xf>
    <xf numFmtId="0" fontId="34" fillId="0" borderId="15" xfId="0" applyFont="1" applyBorder="1" applyAlignment="1" applyProtection="1">
      <alignment horizontal="center"/>
      <protection hidden="1"/>
    </xf>
    <xf numFmtId="0" fontId="34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2" fillId="0" borderId="11" xfId="0" applyFont="1" applyBorder="1" applyAlignment="1" applyProtection="1">
      <alignment horizontal="center"/>
    </xf>
    <xf numFmtId="0" fontId="32" fillId="0" borderId="6" xfId="0" applyFont="1" applyBorder="1" applyAlignment="1" applyProtection="1">
      <alignment horizontal="center"/>
    </xf>
    <xf numFmtId="0" fontId="32" fillId="0" borderId="12" xfId="0" applyFont="1" applyBorder="1" applyAlignment="1" applyProtection="1">
      <alignment horizontal="center"/>
    </xf>
    <xf numFmtId="0" fontId="32" fillId="0" borderId="14" xfId="0" applyFont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2" fillId="0" borderId="2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2.75" x14ac:dyDescent="0.2"/>
  <cols>
    <col min="1" max="1" width="15.7109375" customWidth="1"/>
  </cols>
  <sheetData>
    <row r="3" spans="1:1" x14ac:dyDescent="0.2">
      <c r="A3" s="36" t="s">
        <v>113</v>
      </c>
    </row>
    <row r="4" spans="1:1" x14ac:dyDescent="0.2">
      <c r="A4" s="36" t="s">
        <v>114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O44"/>
  <sheetViews>
    <sheetView tabSelected="1" workbookViewId="0">
      <selection activeCell="C1" sqref="C1:C1048576"/>
    </sheetView>
  </sheetViews>
  <sheetFormatPr baseColWidth="10" defaultRowHeight="12.75" x14ac:dyDescent="0.2"/>
  <cols>
    <col min="1" max="1" width="5.85546875" style="15" customWidth="1"/>
    <col min="2" max="2" width="5.28515625" style="323" customWidth="1"/>
    <col min="3" max="3" width="36.5703125" style="15" customWidth="1"/>
    <col min="4" max="4" width="12.28515625" style="15" customWidth="1"/>
    <col min="5" max="5" width="5.5703125" style="15" customWidth="1"/>
    <col min="6" max="6" width="13.140625" style="15" customWidth="1"/>
    <col min="7" max="7" width="13.5703125" style="15" bestFit="1" customWidth="1"/>
    <col min="8" max="8" width="11.85546875" style="15" hidden="1" customWidth="1"/>
    <col min="9" max="9" width="11.85546875" style="15" bestFit="1" customWidth="1"/>
    <col min="10" max="10" width="10.85546875" style="15" hidden="1" customWidth="1"/>
    <col min="11" max="11" width="11" style="15" customWidth="1"/>
    <col min="12" max="12" width="13.5703125" style="15" bestFit="1" customWidth="1"/>
    <col min="13" max="13" width="65.85546875" style="15" customWidth="1"/>
    <col min="14" max="16384" width="11.42578125" style="15"/>
  </cols>
  <sheetData>
    <row r="1" spans="2:15" ht="5.25" customHeight="1" x14ac:dyDescent="0.2"/>
    <row r="2" spans="2:15" ht="5.25" customHeight="1" x14ac:dyDescent="0.2">
      <c r="B2" s="324"/>
      <c r="C2" s="46"/>
      <c r="D2" s="46"/>
      <c r="E2" s="46"/>
      <c r="F2" s="46"/>
      <c r="G2" s="46"/>
      <c r="H2" s="46"/>
      <c r="I2" s="46"/>
      <c r="J2" s="46"/>
      <c r="K2" s="46"/>
      <c r="L2" s="47"/>
    </row>
    <row r="3" spans="2:15" ht="22.5" x14ac:dyDescent="0.45">
      <c r="B3" s="469" t="s">
        <v>492</v>
      </c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1"/>
    </row>
    <row r="4" spans="2:15" ht="22.5" x14ac:dyDescent="0.45">
      <c r="B4" s="475" t="s">
        <v>167</v>
      </c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7"/>
    </row>
    <row r="5" spans="2:15" ht="19.5" x14ac:dyDescent="0.4">
      <c r="B5" s="472" t="s">
        <v>487</v>
      </c>
      <c r="C5" s="473"/>
      <c r="D5" s="473"/>
      <c r="E5" s="473"/>
      <c r="F5" s="473"/>
      <c r="G5" s="473"/>
      <c r="H5" s="473"/>
      <c r="I5" s="473"/>
      <c r="J5" s="473"/>
      <c r="K5" s="473"/>
      <c r="L5" s="473"/>
      <c r="M5" s="474"/>
    </row>
    <row r="6" spans="2:15" ht="15" x14ac:dyDescent="0.2">
      <c r="B6" s="464"/>
      <c r="C6" s="465"/>
      <c r="D6" s="465"/>
      <c r="E6" s="465"/>
      <c r="F6" s="465"/>
      <c r="G6" s="465"/>
      <c r="H6" s="465"/>
      <c r="I6" s="465"/>
      <c r="J6" s="465"/>
      <c r="K6" s="465"/>
      <c r="L6" s="466"/>
      <c r="M6" s="123"/>
    </row>
    <row r="7" spans="2:15" x14ac:dyDescent="0.2">
      <c r="B7" s="325"/>
      <c r="C7" s="88"/>
      <c r="D7" s="88"/>
      <c r="E7" s="89" t="s">
        <v>4</v>
      </c>
      <c r="F7" s="89"/>
      <c r="G7" s="90"/>
      <c r="H7" s="467"/>
      <c r="I7" s="468"/>
      <c r="J7" s="468"/>
      <c r="K7" s="468"/>
      <c r="L7" s="468"/>
      <c r="M7" s="91"/>
    </row>
    <row r="8" spans="2:15" ht="12.75" customHeight="1" x14ac:dyDescent="0.2">
      <c r="B8" s="326" t="s">
        <v>3</v>
      </c>
      <c r="C8" s="89"/>
      <c r="D8" s="89"/>
      <c r="E8" s="92" t="s">
        <v>5</v>
      </c>
      <c r="F8" s="93" t="s">
        <v>1</v>
      </c>
      <c r="G8" s="94" t="s">
        <v>153</v>
      </c>
      <c r="H8" s="94"/>
      <c r="I8" s="94" t="s">
        <v>157</v>
      </c>
      <c r="J8" s="94" t="s">
        <v>147</v>
      </c>
      <c r="K8" s="94"/>
      <c r="L8" s="94" t="s">
        <v>2</v>
      </c>
      <c r="M8" s="94"/>
    </row>
    <row r="9" spans="2:15" ht="15" x14ac:dyDescent="0.25">
      <c r="B9" s="327"/>
      <c r="C9" s="95"/>
      <c r="D9" s="97" t="s">
        <v>10</v>
      </c>
      <c r="E9" s="89"/>
      <c r="F9" s="89" t="s">
        <v>155</v>
      </c>
      <c r="G9" s="93" t="s">
        <v>156</v>
      </c>
      <c r="H9" s="94" t="s">
        <v>146</v>
      </c>
      <c r="I9" s="93" t="s">
        <v>158</v>
      </c>
      <c r="J9" s="93" t="s">
        <v>148</v>
      </c>
      <c r="K9" s="93" t="s">
        <v>159</v>
      </c>
      <c r="L9" s="93" t="s">
        <v>149</v>
      </c>
      <c r="M9" s="94" t="s">
        <v>160</v>
      </c>
    </row>
    <row r="10" spans="2:15" ht="15" x14ac:dyDescent="0.25">
      <c r="B10" s="326"/>
      <c r="C10" s="96" t="s">
        <v>95</v>
      </c>
      <c r="D10" s="98" t="s">
        <v>9</v>
      </c>
      <c r="E10" s="94"/>
      <c r="F10" s="94"/>
      <c r="G10" s="94"/>
      <c r="H10" s="94"/>
      <c r="I10" s="94"/>
      <c r="J10" s="94"/>
      <c r="K10" s="94"/>
      <c r="L10" s="94"/>
      <c r="M10" s="94"/>
    </row>
    <row r="11" spans="2:15" ht="15" x14ac:dyDescent="0.25">
      <c r="B11" s="328"/>
      <c r="C11" s="17"/>
      <c r="D11" s="17"/>
      <c r="E11" s="16"/>
      <c r="F11" s="16"/>
      <c r="G11" s="16"/>
      <c r="H11" s="16"/>
      <c r="I11" s="16"/>
      <c r="J11" s="16"/>
      <c r="K11" s="16"/>
      <c r="L11" s="16"/>
      <c r="M11" s="53"/>
    </row>
    <row r="12" spans="2:15" ht="35.1" customHeight="1" x14ac:dyDescent="0.2">
      <c r="B12" s="329" t="s">
        <v>311</v>
      </c>
      <c r="C12" s="4" t="s">
        <v>184</v>
      </c>
      <c r="D12" s="4" t="s">
        <v>74</v>
      </c>
      <c r="E12" s="5">
        <v>15</v>
      </c>
      <c r="F12" s="19">
        <v>10584</v>
      </c>
      <c r="G12" s="19">
        <f>F12</f>
        <v>10584</v>
      </c>
      <c r="H12" s="19"/>
      <c r="I12" s="19">
        <f t="shared" ref="I12:I22" si="0">IF(ROUND((((G12/E12*30.4)-VLOOKUP((G12/E12*30.4),TARIFA,1))*VLOOKUP((G12/E12*30.4),TARIFA,3)+VLOOKUP((G12/E12*30.4),TARIFA,2)-VLOOKUP((G12/E12*30.4),SUBSIDIO,2))/30.4*E12,2)&lt;0,ROUND(-(((G12/E12*30.4)-VLOOKUP((G12/E12*30.4),TARIFA,1))*VLOOKUP((G12/E12*30.4),TARIFA,3)+VLOOKUP((G12/E12*30.4),TARIFA,2)-VLOOKUP((G12/E12*30.4),SUBSIDIO,2))/30.4*E12,2),0)</f>
        <v>0</v>
      </c>
      <c r="J12" s="322"/>
      <c r="K12" s="19">
        <f t="shared" ref="K12:K23" si="1">IFERROR(IF(ROUND((((G12/E12*30.4)-VLOOKUP((G12/E12*30.4),TARIFA,1))*VLOOKUP((G12/E12*30.4),TARIFA,3)+VLOOKUP((G12/E12*30.4),TARIFA,2)-VLOOKUP((G12/E12*30.4),SUBSIDIO,2))/30.4*E12,2)&gt;0,ROUND((((G12/E12*30.4)-VLOOKUP((G12/E12*30.4),TARIFA,1))*VLOOKUP((G12/E12*30.4),TARIFA,3)+VLOOKUP((G12/E12*30.4),TARIFA,2)-VLOOKUP((G12/E12*30.4),SUBSIDIO,2))/30.4*E12,2),0),0)</f>
        <v>1549.64</v>
      </c>
      <c r="L12" s="19">
        <f>G12-K12</f>
        <v>9034.36</v>
      </c>
      <c r="M12" s="53"/>
      <c r="N12" s="51"/>
      <c r="O12" s="52"/>
    </row>
    <row r="13" spans="2:15" ht="35.1" customHeight="1" x14ac:dyDescent="0.2">
      <c r="B13" s="329" t="s">
        <v>312</v>
      </c>
      <c r="C13" s="4" t="s">
        <v>185</v>
      </c>
      <c r="D13" s="4" t="s">
        <v>74</v>
      </c>
      <c r="E13" s="5">
        <v>15</v>
      </c>
      <c r="F13" s="19">
        <v>10584</v>
      </c>
      <c r="G13" s="19">
        <f t="shared" ref="G13:G24" si="2">F13</f>
        <v>10584</v>
      </c>
      <c r="H13" s="19"/>
      <c r="I13" s="19">
        <f t="shared" si="0"/>
        <v>0</v>
      </c>
      <c r="J13" s="322"/>
      <c r="K13" s="19">
        <f t="shared" si="1"/>
        <v>1549.64</v>
      </c>
      <c r="L13" s="19">
        <f t="shared" ref="L13:L24" si="3">G13-K13</f>
        <v>9034.36</v>
      </c>
      <c r="M13" s="53"/>
      <c r="N13" s="51"/>
      <c r="O13" s="52"/>
    </row>
    <row r="14" spans="2:15" ht="35.1" customHeight="1" x14ac:dyDescent="0.2">
      <c r="B14" s="329" t="s">
        <v>313</v>
      </c>
      <c r="C14" s="4" t="s">
        <v>186</v>
      </c>
      <c r="D14" s="4" t="s">
        <v>74</v>
      </c>
      <c r="E14" s="5">
        <v>15</v>
      </c>
      <c r="F14" s="19">
        <v>10584</v>
      </c>
      <c r="G14" s="19">
        <f t="shared" si="2"/>
        <v>10584</v>
      </c>
      <c r="H14" s="19"/>
      <c r="I14" s="19">
        <f t="shared" si="0"/>
        <v>0</v>
      </c>
      <c r="J14" s="322"/>
      <c r="K14" s="19">
        <f t="shared" si="1"/>
        <v>1549.64</v>
      </c>
      <c r="L14" s="19">
        <f t="shared" si="3"/>
        <v>9034.36</v>
      </c>
      <c r="M14" s="53"/>
      <c r="N14" s="51"/>
      <c r="O14" s="52"/>
    </row>
    <row r="15" spans="2:15" ht="35.1" customHeight="1" x14ac:dyDescent="0.2">
      <c r="B15" s="329" t="s">
        <v>314</v>
      </c>
      <c r="C15" s="4" t="s">
        <v>187</v>
      </c>
      <c r="D15" s="4" t="s">
        <v>74</v>
      </c>
      <c r="E15" s="5">
        <v>15</v>
      </c>
      <c r="F15" s="19">
        <v>10584</v>
      </c>
      <c r="G15" s="19">
        <f t="shared" si="2"/>
        <v>10584</v>
      </c>
      <c r="H15" s="19"/>
      <c r="I15" s="19">
        <f t="shared" si="0"/>
        <v>0</v>
      </c>
      <c r="J15" s="322"/>
      <c r="K15" s="19">
        <f t="shared" si="1"/>
        <v>1549.64</v>
      </c>
      <c r="L15" s="19">
        <f t="shared" si="3"/>
        <v>9034.36</v>
      </c>
      <c r="M15" s="53"/>
      <c r="N15" s="51"/>
      <c r="O15" s="52"/>
    </row>
    <row r="16" spans="2:15" ht="35.1" customHeight="1" x14ac:dyDescent="0.2">
      <c r="B16" s="329" t="s">
        <v>315</v>
      </c>
      <c r="C16" s="4" t="s">
        <v>188</v>
      </c>
      <c r="D16" s="4" t="s">
        <v>74</v>
      </c>
      <c r="E16" s="5">
        <v>0</v>
      </c>
      <c r="F16" s="19">
        <v>10584</v>
      </c>
      <c r="G16" s="19">
        <v>0</v>
      </c>
      <c r="H16" s="19"/>
      <c r="I16" s="19">
        <v>0</v>
      </c>
      <c r="J16" s="322"/>
      <c r="K16" s="19">
        <v>0</v>
      </c>
      <c r="L16" s="19">
        <f t="shared" si="3"/>
        <v>0</v>
      </c>
      <c r="M16" s="53"/>
      <c r="N16" s="51"/>
      <c r="O16" s="52"/>
    </row>
    <row r="17" spans="2:15" ht="35.1" customHeight="1" x14ac:dyDescent="0.2">
      <c r="B17" s="329"/>
      <c r="C17" s="4" t="s">
        <v>481</v>
      </c>
      <c r="D17" s="4" t="s">
        <v>74</v>
      </c>
      <c r="E17" s="5">
        <v>15</v>
      </c>
      <c r="F17" s="19">
        <v>10584</v>
      </c>
      <c r="G17" s="19">
        <v>10584</v>
      </c>
      <c r="H17" s="19"/>
      <c r="I17" s="19">
        <v>0</v>
      </c>
      <c r="J17" s="322"/>
      <c r="K17" s="19">
        <f t="shared" si="1"/>
        <v>1549.64</v>
      </c>
      <c r="L17" s="19">
        <f t="shared" si="3"/>
        <v>9034.36</v>
      </c>
      <c r="M17" s="53"/>
      <c r="N17" s="51"/>
      <c r="O17" s="52"/>
    </row>
    <row r="18" spans="2:15" ht="35.1" customHeight="1" x14ac:dyDescent="0.2">
      <c r="B18" s="329" t="s">
        <v>316</v>
      </c>
      <c r="C18" s="4" t="s">
        <v>189</v>
      </c>
      <c r="D18" s="4" t="s">
        <v>74</v>
      </c>
      <c r="E18" s="5">
        <v>15</v>
      </c>
      <c r="F18" s="19">
        <v>10584</v>
      </c>
      <c r="G18" s="19">
        <f t="shared" si="2"/>
        <v>10584</v>
      </c>
      <c r="H18" s="19"/>
      <c r="I18" s="19">
        <f t="shared" si="0"/>
        <v>0</v>
      </c>
      <c r="J18" s="322"/>
      <c r="K18" s="19">
        <f t="shared" si="1"/>
        <v>1549.64</v>
      </c>
      <c r="L18" s="19">
        <f t="shared" si="3"/>
        <v>9034.36</v>
      </c>
      <c r="M18" s="53"/>
      <c r="N18" s="51"/>
      <c r="O18" s="52"/>
    </row>
    <row r="19" spans="2:15" ht="35.1" customHeight="1" x14ac:dyDescent="0.2">
      <c r="B19" s="329" t="s">
        <v>317</v>
      </c>
      <c r="C19" s="4" t="s">
        <v>190</v>
      </c>
      <c r="D19" s="4" t="s">
        <v>74</v>
      </c>
      <c r="E19" s="5">
        <v>15</v>
      </c>
      <c r="F19" s="19">
        <v>10584</v>
      </c>
      <c r="G19" s="19">
        <f t="shared" si="2"/>
        <v>10584</v>
      </c>
      <c r="H19" s="19"/>
      <c r="I19" s="19">
        <f t="shared" si="0"/>
        <v>0</v>
      </c>
      <c r="J19" s="322"/>
      <c r="K19" s="19">
        <f t="shared" si="1"/>
        <v>1549.64</v>
      </c>
      <c r="L19" s="19">
        <f t="shared" si="3"/>
        <v>9034.36</v>
      </c>
      <c r="M19" s="53"/>
      <c r="N19" s="51"/>
      <c r="O19" s="52"/>
    </row>
    <row r="20" spans="2:15" ht="35.1" customHeight="1" x14ac:dyDescent="0.2">
      <c r="B20" s="329" t="s">
        <v>318</v>
      </c>
      <c r="C20" s="4" t="s">
        <v>123</v>
      </c>
      <c r="D20" s="4" t="s">
        <v>74</v>
      </c>
      <c r="E20" s="5">
        <v>0</v>
      </c>
      <c r="F20" s="19">
        <v>0</v>
      </c>
      <c r="G20" s="19">
        <v>0</v>
      </c>
      <c r="H20" s="19"/>
      <c r="I20" s="19">
        <v>0</v>
      </c>
      <c r="J20" s="322"/>
      <c r="K20" s="19">
        <f t="shared" si="1"/>
        <v>0</v>
      </c>
      <c r="L20" s="19">
        <f t="shared" si="3"/>
        <v>0</v>
      </c>
      <c r="M20" s="53"/>
      <c r="N20" s="51"/>
      <c r="O20" s="52"/>
    </row>
    <row r="21" spans="2:15" ht="35.1" customHeight="1" x14ac:dyDescent="0.2">
      <c r="B21" s="329"/>
      <c r="C21" s="4" t="s">
        <v>478</v>
      </c>
      <c r="D21" s="4" t="s">
        <v>74</v>
      </c>
      <c r="E21" s="5">
        <v>15</v>
      </c>
      <c r="F21" s="452">
        <v>10584</v>
      </c>
      <c r="G21" s="19">
        <v>10584</v>
      </c>
      <c r="H21" s="19">
        <v>7761.6</v>
      </c>
      <c r="I21" s="19">
        <f t="shared" si="0"/>
        <v>0</v>
      </c>
      <c r="J21" s="19">
        <f t="shared" ref="J21" si="4">IF(ROUND((((H21/F21*30.4)-VLOOKUP((H21/F21*30.4),TARIFA,1))*VLOOKUP((H21/F21*30.4),TARIFA,3)+VLOOKUP((H21/F21*30.4),TARIFA,2)-VLOOKUP((H21/F21*30.4),SUBSIDIO,2))/30.4*F21,2)&lt;0,ROUND(-(((H21/F21*30.4)-VLOOKUP((H21/F21*30.4),TARIFA,1))*VLOOKUP((H21/F21*30.4),TARIFA,3)+VLOOKUP((H21/F21*30.4),TARIFA,2)-VLOOKUP((H21/F21*30.4),SUBSIDIO,2))/30.4*F21,2),0)</f>
        <v>141558.26999999999</v>
      </c>
      <c r="K21" s="19">
        <f t="shared" si="1"/>
        <v>1549.64</v>
      </c>
      <c r="L21" s="19">
        <f t="shared" si="3"/>
        <v>9034.36</v>
      </c>
      <c r="M21" s="19"/>
      <c r="N21" s="51"/>
      <c r="O21" s="52"/>
    </row>
    <row r="22" spans="2:15" ht="35.1" customHeight="1" x14ac:dyDescent="0.2">
      <c r="B22" s="329" t="s">
        <v>319</v>
      </c>
      <c r="C22" s="4" t="s">
        <v>191</v>
      </c>
      <c r="D22" s="4" t="s">
        <v>74</v>
      </c>
      <c r="E22" s="5">
        <v>15</v>
      </c>
      <c r="F22" s="19">
        <v>10584</v>
      </c>
      <c r="G22" s="19">
        <f t="shared" si="2"/>
        <v>10584</v>
      </c>
      <c r="H22" s="19"/>
      <c r="I22" s="19">
        <f t="shared" si="0"/>
        <v>0</v>
      </c>
      <c r="J22" s="322"/>
      <c r="K22" s="19">
        <f t="shared" si="1"/>
        <v>1549.64</v>
      </c>
      <c r="L22" s="19">
        <f t="shared" si="3"/>
        <v>9034.36</v>
      </c>
      <c r="M22" s="53"/>
      <c r="N22" s="51"/>
      <c r="O22" s="52"/>
    </row>
    <row r="23" spans="2:15" ht="35.1" customHeight="1" x14ac:dyDescent="0.2">
      <c r="B23" s="448" t="s">
        <v>320</v>
      </c>
      <c r="C23" s="4" t="s">
        <v>192</v>
      </c>
      <c r="D23" s="4" t="s">
        <v>75</v>
      </c>
      <c r="E23" s="5">
        <v>0</v>
      </c>
      <c r="F23" s="19">
        <v>0</v>
      </c>
      <c r="G23" s="19">
        <f t="shared" si="2"/>
        <v>0</v>
      </c>
      <c r="H23" s="19"/>
      <c r="I23" s="19">
        <v>0</v>
      </c>
      <c r="J23" s="322"/>
      <c r="K23" s="19">
        <f t="shared" si="1"/>
        <v>0</v>
      </c>
      <c r="L23" s="19">
        <f t="shared" si="3"/>
        <v>0</v>
      </c>
      <c r="M23" s="53"/>
      <c r="N23" s="51"/>
      <c r="O23" s="52"/>
    </row>
    <row r="24" spans="2:15" ht="35.1" customHeight="1" x14ac:dyDescent="0.2">
      <c r="B24" s="449" t="s">
        <v>372</v>
      </c>
      <c r="C24" s="4" t="s">
        <v>479</v>
      </c>
      <c r="D24" s="4" t="s">
        <v>75</v>
      </c>
      <c r="E24" s="5">
        <v>15</v>
      </c>
      <c r="F24" s="19">
        <v>17366.96</v>
      </c>
      <c r="G24" s="19">
        <f t="shared" si="2"/>
        <v>17366.96</v>
      </c>
      <c r="H24" s="19"/>
      <c r="I24" s="19">
        <f t="shared" ref="I24" si="5">IF(ROUND((((G24/E24*30.4)-VLOOKUP((G24/E24*30.4),TARIFA,1))*VLOOKUP((G24/E24*30.4),TARIFA,3)+VLOOKUP((G24/E24*30.4),TARIFA,2)-VLOOKUP((G24/E24*30.4),SUBSIDIO,2))/30.4*E24,2)&lt;0,ROUND(-(((G24/E24*30.4)-VLOOKUP((G24/E24*30.4),TARIFA,1))*VLOOKUP((G24/E24*30.4),TARIFA,3)+VLOOKUP((G24/E24*30.4),TARIFA,2)-VLOOKUP((G24/E24*30.4),SUBSIDIO,2))/30.4*E24,2),0)</f>
        <v>0</v>
      </c>
      <c r="J24" s="322"/>
      <c r="K24" s="19">
        <f t="shared" ref="K24" si="6">IFERROR(IF(ROUND((((G24/E24*30.4)-VLOOKUP((G24/E24*30.4),TARIFA,1))*VLOOKUP((G24/E24*30.4),TARIFA,3)+VLOOKUP((G24/E24*30.4),TARIFA,2)-VLOOKUP((G24/E24*30.4),SUBSIDIO,2))/30.4*E24,2)&gt;0,ROUND((((G24/E24*30.4)-VLOOKUP((G24/E24*30.4),TARIFA,1))*VLOOKUP((G24/E24*30.4),TARIFA,3)+VLOOKUP((G24/E24*30.4),TARIFA,2)-VLOOKUP((G24/E24*30.4),SUBSIDIO,2))/30.4*E24,2),0),0)</f>
        <v>3085.97</v>
      </c>
      <c r="L24" s="19">
        <f t="shared" si="3"/>
        <v>14280.99</v>
      </c>
      <c r="M24" s="53"/>
      <c r="N24" s="51"/>
      <c r="O24" s="52"/>
    </row>
    <row r="25" spans="2:15" x14ac:dyDescent="0.2">
      <c r="B25" s="330"/>
      <c r="C25" s="22"/>
      <c r="D25" s="22"/>
      <c r="E25" s="23"/>
      <c r="F25" s="25"/>
      <c r="G25" s="26"/>
      <c r="H25" s="26"/>
      <c r="I25" s="26"/>
      <c r="J25" s="26"/>
      <c r="K25" s="26"/>
      <c r="L25" s="26"/>
      <c r="M25" s="37"/>
    </row>
    <row r="26" spans="2:15" ht="15.75" thickBot="1" x14ac:dyDescent="0.3">
      <c r="B26" s="462" t="s">
        <v>68</v>
      </c>
      <c r="C26" s="463"/>
      <c r="D26" s="463"/>
      <c r="E26" s="463"/>
      <c r="F26" s="102">
        <f t="shared" ref="F26:K26" si="7">SUM(F12:F24)</f>
        <v>123206.95999999999</v>
      </c>
      <c r="G26" s="102">
        <f t="shared" si="7"/>
        <v>112622.95999999999</v>
      </c>
      <c r="H26" s="102">
        <f t="shared" si="7"/>
        <v>7761.6</v>
      </c>
      <c r="I26" s="102">
        <f t="shared" si="7"/>
        <v>0</v>
      </c>
      <c r="J26" s="102">
        <f t="shared" si="7"/>
        <v>141558.26999999999</v>
      </c>
      <c r="K26" s="102">
        <f t="shared" si="7"/>
        <v>17032.73</v>
      </c>
      <c r="L26" s="102">
        <f>SUM(L12:L24)</f>
        <v>95590.23000000001</v>
      </c>
      <c r="M26" s="27"/>
    </row>
    <row r="27" spans="2:15" ht="15.75" thickTop="1" x14ac:dyDescent="0.25">
      <c r="B27" s="331"/>
      <c r="C27" s="124"/>
      <c r="D27" s="124"/>
      <c r="E27" s="124"/>
      <c r="F27" s="126"/>
      <c r="G27" s="126"/>
      <c r="H27" s="126"/>
      <c r="I27" s="126"/>
      <c r="J27" s="126"/>
      <c r="K27" s="126"/>
      <c r="L27" s="126"/>
      <c r="M27" s="125"/>
    </row>
    <row r="28" spans="2:15" ht="15" x14ac:dyDescent="0.25">
      <c r="B28" s="331"/>
      <c r="C28" s="124"/>
      <c r="D28" s="124"/>
      <c r="E28" s="124"/>
      <c r="F28" s="126"/>
      <c r="G28" s="126"/>
      <c r="H28" s="126"/>
      <c r="I28" s="126"/>
      <c r="J28" s="126"/>
      <c r="K28" s="126"/>
      <c r="L28" s="126"/>
      <c r="M28" s="125"/>
    </row>
    <row r="29" spans="2:15" ht="15" x14ac:dyDescent="0.25">
      <c r="B29" s="331"/>
      <c r="C29" s="124"/>
      <c r="D29" s="124"/>
      <c r="E29" s="124"/>
      <c r="F29" s="126"/>
      <c r="G29" s="126"/>
      <c r="H29" s="126"/>
      <c r="I29" s="126"/>
      <c r="J29" s="126"/>
      <c r="K29" s="126"/>
      <c r="L29" s="126"/>
      <c r="M29" s="125"/>
    </row>
    <row r="30" spans="2:15" ht="15" x14ac:dyDescent="0.25">
      <c r="B30" s="331"/>
      <c r="C30" s="124"/>
      <c r="D30" s="124"/>
      <c r="E30" s="124"/>
      <c r="F30" s="126"/>
      <c r="G30" s="126"/>
      <c r="H30" s="126"/>
      <c r="I30" s="126"/>
      <c r="J30" s="126"/>
      <c r="K30" s="126"/>
      <c r="L30" s="126"/>
      <c r="M30" s="125"/>
    </row>
    <row r="31" spans="2:15" ht="15" x14ac:dyDescent="0.25">
      <c r="B31" s="331"/>
      <c r="C31" s="124"/>
      <c r="D31" s="124"/>
      <c r="E31" s="124"/>
      <c r="F31" s="126"/>
      <c r="G31" s="126"/>
      <c r="H31" s="126"/>
      <c r="I31" s="126"/>
      <c r="J31" s="126"/>
      <c r="K31" s="126"/>
      <c r="L31" s="126"/>
      <c r="M31" s="125"/>
    </row>
    <row r="34" spans="2:12" x14ac:dyDescent="0.2">
      <c r="C34" s="29" t="s">
        <v>121</v>
      </c>
      <c r="L34" s="29" t="s">
        <v>121</v>
      </c>
    </row>
    <row r="35" spans="2:12" x14ac:dyDescent="0.2">
      <c r="C35" s="29" t="s">
        <v>484</v>
      </c>
      <c r="L35" s="15" t="s">
        <v>193</v>
      </c>
    </row>
    <row r="36" spans="2:12" x14ac:dyDescent="0.2">
      <c r="C36" s="30" t="s">
        <v>11</v>
      </c>
      <c r="F36" s="30"/>
      <c r="G36" s="30"/>
      <c r="H36" s="30"/>
      <c r="I36" s="30"/>
      <c r="J36" s="30"/>
      <c r="K36" s="30"/>
      <c r="L36" s="30" t="s">
        <v>181</v>
      </c>
    </row>
    <row r="38" spans="2:12" x14ac:dyDescent="0.2">
      <c r="C38" s="33"/>
      <c r="E38" s="29"/>
    </row>
    <row r="39" spans="2:12" x14ac:dyDescent="0.2">
      <c r="B39" s="332"/>
      <c r="C39" s="34"/>
      <c r="D39" s="30"/>
      <c r="E39" s="30"/>
      <c r="F39" s="30"/>
      <c r="G39" s="30"/>
      <c r="H39" s="30"/>
      <c r="I39" s="30"/>
      <c r="J39" s="30"/>
      <c r="K39" s="30"/>
      <c r="L39" s="30"/>
    </row>
    <row r="43" spans="2:12" x14ac:dyDescent="0.2">
      <c r="C43" s="29"/>
    </row>
    <row r="44" spans="2:12" x14ac:dyDescent="0.2">
      <c r="C44" s="30"/>
      <c r="D44" s="30"/>
      <c r="E44" s="30"/>
      <c r="F44" s="30"/>
      <c r="G44" s="30"/>
      <c r="H44" s="30"/>
      <c r="I44" s="30"/>
      <c r="J44" s="30"/>
      <c r="K44" s="30"/>
      <c r="L44" s="30"/>
    </row>
  </sheetData>
  <sheetProtection selectLockedCells="1" selectUnlockedCells="1"/>
  <mergeCells count="6">
    <mergeCell ref="B26:E26"/>
    <mergeCell ref="B6:L6"/>
    <mergeCell ref="H7:L7"/>
    <mergeCell ref="B3:M3"/>
    <mergeCell ref="B5:M5"/>
    <mergeCell ref="B4:M4"/>
  </mergeCells>
  <phoneticPr fontId="8" type="noConversion"/>
  <pageMargins left="0" right="0.15748031496062992" top="0.70866141732283472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R141"/>
  <sheetViews>
    <sheetView zoomScaleNormal="100" workbookViewId="0">
      <selection activeCell="E1" sqref="E1:E1048576"/>
    </sheetView>
  </sheetViews>
  <sheetFormatPr baseColWidth="10" defaultRowHeight="12.75" x14ac:dyDescent="0.2"/>
  <cols>
    <col min="1" max="1" width="10.28515625" style="15" customWidth="1"/>
    <col min="2" max="2" width="5.28515625" style="15" customWidth="1"/>
    <col min="3" max="3" width="3.85546875" style="15" hidden="1" customWidth="1"/>
    <col min="4" max="4" width="4.7109375" style="349" customWidth="1"/>
    <col min="5" max="5" width="50.140625" style="15" customWidth="1"/>
    <col min="6" max="6" width="32" style="15" customWidth="1"/>
    <col min="7" max="7" width="6.5703125" style="15" customWidth="1"/>
    <col min="8" max="8" width="13.28515625" style="15" bestFit="1" customWidth="1"/>
    <col min="9" max="9" width="14.7109375" style="15" bestFit="1" customWidth="1"/>
    <col min="10" max="10" width="12" style="51" bestFit="1" customWidth="1"/>
    <col min="11" max="11" width="12" style="15" bestFit="1" customWidth="1"/>
    <col min="12" max="12" width="11.28515625" style="15" hidden="1" customWidth="1"/>
    <col min="13" max="13" width="14.7109375" style="15" bestFit="1" customWidth="1"/>
    <col min="14" max="14" width="57.28515625" style="15" customWidth="1"/>
    <col min="15" max="16" width="11.42578125" style="15"/>
    <col min="17" max="17" width="12.85546875" style="15" bestFit="1" customWidth="1"/>
    <col min="18" max="16384" width="11.42578125" style="15"/>
  </cols>
  <sheetData>
    <row r="2" spans="4:18" x14ac:dyDescent="0.2">
      <c r="D2" s="333"/>
      <c r="E2" s="46"/>
      <c r="F2" s="46"/>
      <c r="G2" s="46"/>
      <c r="H2" s="46"/>
      <c r="I2" s="46"/>
      <c r="J2" s="350"/>
      <c r="K2" s="46"/>
      <c r="L2" s="46"/>
      <c r="M2" s="46"/>
      <c r="N2" s="47"/>
      <c r="Q2" s="51"/>
    </row>
    <row r="3" spans="4:18" ht="18" customHeight="1" x14ac:dyDescent="0.25">
      <c r="D3" s="485" t="s">
        <v>12</v>
      </c>
      <c r="E3" s="480"/>
      <c r="F3" s="480"/>
      <c r="G3" s="480"/>
      <c r="H3" s="480"/>
      <c r="I3" s="480"/>
      <c r="J3" s="480"/>
      <c r="K3" s="480"/>
      <c r="L3" s="480"/>
      <c r="M3" s="480"/>
      <c r="N3" s="486"/>
      <c r="Q3" s="51"/>
    </row>
    <row r="4" spans="4:18" ht="18" customHeight="1" x14ac:dyDescent="0.25">
      <c r="D4" s="485" t="s">
        <v>167</v>
      </c>
      <c r="E4" s="480"/>
      <c r="F4" s="480"/>
      <c r="G4" s="480"/>
      <c r="H4" s="480"/>
      <c r="I4" s="480"/>
      <c r="J4" s="480"/>
      <c r="K4" s="480"/>
      <c r="L4" s="480"/>
      <c r="M4" s="480"/>
      <c r="N4" s="486"/>
      <c r="Q4" s="51"/>
    </row>
    <row r="5" spans="4:18" ht="18" customHeight="1" x14ac:dyDescent="0.25">
      <c r="D5" s="485" t="s">
        <v>488</v>
      </c>
      <c r="E5" s="480"/>
      <c r="F5" s="480"/>
      <c r="G5" s="480"/>
      <c r="H5" s="480"/>
      <c r="I5" s="480"/>
      <c r="J5" s="480"/>
      <c r="K5" s="480"/>
      <c r="L5" s="480"/>
      <c r="M5" s="480"/>
      <c r="N5" s="486"/>
      <c r="Q5" s="51"/>
    </row>
    <row r="6" spans="4:18" ht="18" customHeight="1" x14ac:dyDescent="0.25">
      <c r="D6" s="485" t="s">
        <v>151</v>
      </c>
      <c r="E6" s="480"/>
      <c r="F6" s="480"/>
      <c r="G6" s="480"/>
      <c r="H6" s="480"/>
      <c r="I6" s="480"/>
      <c r="J6" s="480"/>
      <c r="K6" s="480"/>
      <c r="L6" s="480"/>
      <c r="M6" s="480"/>
      <c r="N6" s="486"/>
    </row>
    <row r="7" spans="4:18" x14ac:dyDescent="0.2">
      <c r="D7" s="334"/>
      <c r="E7" s="99"/>
      <c r="F7" s="99"/>
      <c r="G7" s="93" t="s">
        <v>4</v>
      </c>
      <c r="H7" s="100"/>
      <c r="I7" s="481" t="s">
        <v>150</v>
      </c>
      <c r="J7" s="482"/>
      <c r="K7" s="481"/>
      <c r="L7" s="483"/>
      <c r="M7" s="483"/>
      <c r="N7" s="93"/>
    </row>
    <row r="8" spans="4:18" ht="12.75" customHeight="1" x14ac:dyDescent="0.2">
      <c r="D8" s="335" t="s">
        <v>3</v>
      </c>
      <c r="E8" s="89"/>
      <c r="F8" s="89"/>
      <c r="G8" s="92" t="s">
        <v>5</v>
      </c>
      <c r="H8" s="93" t="s">
        <v>1</v>
      </c>
      <c r="I8" s="93" t="s">
        <v>153</v>
      </c>
      <c r="J8" s="351" t="s">
        <v>157</v>
      </c>
      <c r="K8" s="94"/>
      <c r="L8" s="94" t="s">
        <v>173</v>
      </c>
      <c r="M8" s="94" t="s">
        <v>156</v>
      </c>
      <c r="N8" s="89" t="s">
        <v>161</v>
      </c>
    </row>
    <row r="9" spans="4:18" ht="15" x14ac:dyDescent="0.25">
      <c r="D9" s="336"/>
      <c r="E9" s="95"/>
      <c r="F9" s="95" t="s">
        <v>10</v>
      </c>
      <c r="G9" s="89"/>
      <c r="H9" s="89" t="s">
        <v>7</v>
      </c>
      <c r="I9" s="89" t="s">
        <v>156</v>
      </c>
      <c r="J9" s="352" t="s">
        <v>158</v>
      </c>
      <c r="K9" s="93" t="s">
        <v>159</v>
      </c>
      <c r="L9" s="93" t="s">
        <v>174</v>
      </c>
      <c r="M9" s="93" t="s">
        <v>162</v>
      </c>
      <c r="N9" s="89"/>
    </row>
    <row r="10" spans="4:18" ht="15" x14ac:dyDescent="0.25">
      <c r="D10" s="337"/>
      <c r="E10" s="96" t="s">
        <v>14</v>
      </c>
      <c r="F10" s="96" t="s">
        <v>9</v>
      </c>
      <c r="G10" s="94"/>
      <c r="H10" s="94"/>
      <c r="I10" s="94"/>
      <c r="J10" s="353"/>
      <c r="K10" s="94"/>
      <c r="L10" s="94"/>
      <c r="M10" s="94"/>
      <c r="N10" s="94"/>
    </row>
    <row r="11" spans="4:18" s="18" customFormat="1" ht="15.75" x14ac:dyDescent="0.25">
      <c r="D11" s="338"/>
      <c r="E11" s="136" t="s">
        <v>20</v>
      </c>
      <c r="F11" s="136"/>
      <c r="G11" s="136"/>
      <c r="H11" s="136"/>
      <c r="I11" s="136"/>
      <c r="J11" s="354"/>
      <c r="K11" s="136"/>
      <c r="L11" s="136"/>
      <c r="M11" s="136"/>
      <c r="N11" s="16"/>
    </row>
    <row r="12" spans="4:18" ht="32.1" customHeight="1" x14ac:dyDescent="0.2">
      <c r="D12" s="339" t="s">
        <v>322</v>
      </c>
      <c r="E12" s="143" t="s">
        <v>207</v>
      </c>
      <c r="F12" s="143" t="s">
        <v>13</v>
      </c>
      <c r="G12" s="138">
        <v>15</v>
      </c>
      <c r="H12" s="141">
        <v>21811</v>
      </c>
      <c r="I12" s="141">
        <v>21811</v>
      </c>
      <c r="J12" s="355">
        <f>IFERROR(IF(ROUND((((I12/G12*30.4)-VLOOKUP((I12/G12*30.4),TARIFA,1))*VLOOKUP((I12/G12*30.4),TARIFA,3)+VLOOKUP((I12/G12*30.4),TARIFA,2)-VLOOKUP((I12/G12*30.4),SUBSIDIO,2))/30.4*G12,2)&lt;0,ROUND(-(((I12/G12*30.4)-VLOOKUP((I12/G12*30.4),TARIFA,1))*VLOOKUP((I12/G12*30.4),TARIFA,3)+VLOOKUP((I12/G12*30.4),TARIFA,2)-VLOOKUP((I12/G12*30.4),SUBSIDIO,2))/30.4*G12,2),0),0)</f>
        <v>0</v>
      </c>
      <c r="K12" s="141">
        <f>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</f>
        <v>4184.4799999999996</v>
      </c>
      <c r="L12" s="141">
        <v>0</v>
      </c>
      <c r="M12" s="141">
        <f>I12+J12-K12</f>
        <v>17626.52</v>
      </c>
      <c r="N12" s="19"/>
      <c r="Q12" s="51"/>
      <c r="R12" s="52"/>
    </row>
    <row r="13" spans="4:18" ht="32.1" hidden="1" customHeight="1" x14ac:dyDescent="0.2">
      <c r="D13" s="339"/>
      <c r="E13" s="153"/>
      <c r="F13" s="451"/>
      <c r="G13" s="152"/>
      <c r="H13" s="141"/>
      <c r="I13" s="141"/>
      <c r="J13" s="355"/>
      <c r="K13" s="141"/>
      <c r="L13" s="141"/>
      <c r="M13" s="141"/>
      <c r="N13" s="19"/>
      <c r="Q13" s="51"/>
      <c r="R13" s="52"/>
    </row>
    <row r="14" spans="4:18" ht="32.1" customHeight="1" x14ac:dyDescent="0.2">
      <c r="D14" s="339"/>
      <c r="E14" s="143"/>
      <c r="F14" s="143" t="s">
        <v>208</v>
      </c>
      <c r="G14" s="145">
        <v>15</v>
      </c>
      <c r="H14" s="146">
        <v>0</v>
      </c>
      <c r="I14" s="147">
        <v>0</v>
      </c>
      <c r="J14" s="355">
        <f>IFERROR(IF(ROUND((((I14/G14*30.4)-VLOOKUP((I14/G14*30.4),TARIFA,1))*VLOOKUP((I14/G14*30.4),TARIFA,3)+VLOOKUP((I14/G14*30.4),TARIFA,2)-VLOOKUP((I14/G14*30.4),SUBSIDIO,2))/30.4*G14,2)&lt;0,ROUND(-(((I14/G14*30.4)-VLOOKUP((I14/G14*30.4),TARIFA,1))*VLOOKUP((I14/G14*30.4),TARIFA,3)+VLOOKUP((I14/G14*30.4),TARIFA,2)-VLOOKUP((I14/G14*30.4),SUBSIDIO,2))/30.4*G14,2),0),0)</f>
        <v>0</v>
      </c>
      <c r="K14" s="141">
        <f>IFERROR(IF(ROUND((((I14/G14*30.4)-VLOOKUP((I14/G14*30.4),TARIFA,1))*VLOOKUP((I14/G14*30.4),TARIFA,3)+VLOOKUP((I14/G14*30.4),TARIFA,2)-VLOOKUP((I14/G14*30.4),SUBSIDIO,2))/30.4*G14,2)&gt;0,ROUND((((I14/G14*30.4)-VLOOKUP((I14/G14*30.4),TARIFA,1))*VLOOKUP((I14/G14*30.4),TARIFA,3)+VLOOKUP((I14/G14*30.4),TARIFA,2)-VLOOKUP((I14/G14*30.4),SUBSIDIO,2))/30.4*G14,2),0),0)</f>
        <v>0</v>
      </c>
      <c r="L14" s="141"/>
      <c r="M14" s="141">
        <f t="shared" ref="M14:M33" si="0">I14+J14-K14</f>
        <v>0</v>
      </c>
      <c r="N14" s="19"/>
      <c r="Q14" s="51"/>
      <c r="R14" s="52"/>
    </row>
    <row r="15" spans="4:18" ht="32.1" customHeight="1" x14ac:dyDescent="0.25">
      <c r="D15" s="339"/>
      <c r="E15" s="137" t="s">
        <v>142</v>
      </c>
      <c r="F15" s="148"/>
      <c r="G15" s="149"/>
      <c r="H15" s="150"/>
      <c r="I15" s="151"/>
      <c r="J15" s="356"/>
      <c r="K15" s="142"/>
      <c r="L15" s="141"/>
      <c r="M15" s="141"/>
      <c r="N15" s="19"/>
      <c r="Q15" s="51"/>
      <c r="R15" s="52"/>
    </row>
    <row r="16" spans="4:18" ht="32.1" customHeight="1" x14ac:dyDescent="0.2">
      <c r="D16" s="339" t="s">
        <v>323</v>
      </c>
      <c r="E16" s="143" t="s">
        <v>206</v>
      </c>
      <c r="F16" s="143" t="s">
        <v>19</v>
      </c>
      <c r="G16" s="138">
        <v>15</v>
      </c>
      <c r="H16" s="141">
        <v>9742</v>
      </c>
      <c r="I16" s="141">
        <v>9742</v>
      </c>
      <c r="J16" s="355">
        <f>IFERROR(IF(ROUND((((I16/G16*30.4)-VLOOKUP((I16/G16*30.4),TARIFA,1))*VLOOKUP((I16/G16*30.4),TARIFA,3)+VLOOKUP((I16/G16*30.4),TARIFA,2)-VLOOKUP((I16/G16*30.4),SUBSIDIO,2))/30.4*G16,2)&lt;0,ROUND(-(((I16/G16*30.4)-VLOOKUP((I16/G16*30.4),TARIFA,1))*VLOOKUP((I16/G16*30.4),TARIFA,3)+VLOOKUP((I16/G16*30.4),TARIFA,2)-VLOOKUP((I16/G16*30.4),SUBSIDIO,2))/30.4*G16,2),0),0)</f>
        <v>0</v>
      </c>
      <c r="K16" s="141">
        <f>IFERROR(IF(ROUND((((I16/G16*30.4)-VLOOKUP((I16/G16*30.4),TARIFA,1))*VLOOKUP((I16/G16*30.4),TARIFA,3)+VLOOKUP((I16/G16*30.4),TARIFA,2)-VLOOKUP((I16/G16*30.4),SUBSIDIO,2))/30.4*G16,2)&gt;0,ROUND((((I16/G16*30.4)-VLOOKUP((I16/G16*30.4),TARIFA,1))*VLOOKUP((I16/G16*30.4),TARIFA,3)+VLOOKUP((I16/G16*30.4),TARIFA,2)-VLOOKUP((I16/G16*30.4),SUBSIDIO,2))/30.4*G16,2),0),0)</f>
        <v>1369.79</v>
      </c>
      <c r="L16" s="141">
        <v>0</v>
      </c>
      <c r="M16" s="141">
        <f t="shared" si="0"/>
        <v>8372.2099999999991</v>
      </c>
      <c r="N16" s="19"/>
      <c r="Q16" s="51"/>
      <c r="R16" s="52"/>
    </row>
    <row r="17" spans="4:18" ht="32.1" customHeight="1" x14ac:dyDescent="0.2">
      <c r="D17" s="339" t="s">
        <v>324</v>
      </c>
      <c r="E17" s="153" t="s">
        <v>15</v>
      </c>
      <c r="F17" s="153" t="s">
        <v>16</v>
      </c>
      <c r="G17" s="152">
        <v>15</v>
      </c>
      <c r="H17" s="141">
        <v>4144</v>
      </c>
      <c r="I17" s="141">
        <v>4144</v>
      </c>
      <c r="J17" s="355">
        <f>IFERROR(IF(ROUND((((I17/G17*30.4)-VLOOKUP((I17/G17*30.4),TARIFA,1))*VLOOKUP((I17/G17*30.4),TARIFA,3)+VLOOKUP((I17/G17*30.4),TARIFA,2)-VLOOKUP((I17/G17*30.4),SUBSIDIO,2))/30.4*G17,2)&lt;0,ROUND(-(((I17/G17*30.4)-VLOOKUP((I17/G17*30.4),TARIFA,1))*VLOOKUP((I17/G17*30.4),TARIFA,3)+VLOOKUP((I17/G17*30.4),TARIFA,2)-VLOOKUP((I17/G17*30.4),SUBSIDIO,2))/30.4*G17,2),0),0)</f>
        <v>0</v>
      </c>
      <c r="K17" s="141">
        <f>IFERROR(IF(ROUND((((I17/G17*30.4)-VLOOKUP((I17/G17*30.4),TARIFA,1))*VLOOKUP((I17/G17*30.4),TARIFA,3)+VLOOKUP((I17/G17*30.4),TARIFA,2)-VLOOKUP((I17/G17*30.4),SUBSIDIO,2))/30.4*G17,2)&gt;0,ROUND((((I17/G17*30.4)-VLOOKUP((I17/G17*30.4),TARIFA,1))*VLOOKUP((I17/G17*30.4),TARIFA,3)+VLOOKUP((I17/G17*30.4),TARIFA,2)-VLOOKUP((I17/G17*30.4),SUBSIDIO,2))/30.4*G17,2),0),0)</f>
        <v>315.68</v>
      </c>
      <c r="L17" s="141">
        <v>0</v>
      </c>
      <c r="M17" s="141">
        <f t="shared" si="0"/>
        <v>3828.32</v>
      </c>
      <c r="N17" s="19"/>
      <c r="Q17" s="51"/>
      <c r="R17" s="52"/>
    </row>
    <row r="18" spans="4:18" ht="32.1" customHeight="1" x14ac:dyDescent="0.25">
      <c r="D18" s="339"/>
      <c r="E18" s="137" t="s">
        <v>98</v>
      </c>
      <c r="F18" s="143"/>
      <c r="G18" s="138"/>
      <c r="H18" s="141"/>
      <c r="I18" s="141"/>
      <c r="J18" s="355"/>
      <c r="K18" s="141"/>
      <c r="L18" s="141"/>
      <c r="M18" s="141"/>
      <c r="N18" s="19"/>
      <c r="Q18" s="51"/>
      <c r="R18" s="52"/>
    </row>
    <row r="19" spans="4:18" ht="32.1" customHeight="1" x14ac:dyDescent="0.2">
      <c r="D19" s="339" t="s">
        <v>325</v>
      </c>
      <c r="E19" s="143" t="s">
        <v>55</v>
      </c>
      <c r="F19" s="143" t="s">
        <v>69</v>
      </c>
      <c r="G19" s="138">
        <v>15</v>
      </c>
      <c r="H19" s="141">
        <v>3690</v>
      </c>
      <c r="I19" s="141">
        <v>3690</v>
      </c>
      <c r="J19" s="355">
        <f>IFERROR(IF(ROUND((((I19/G19*30.4)-VLOOKUP((I19/G19*30.4),TARIFA,1))*VLOOKUP((I19/G19*30.4),TARIFA,3)+VLOOKUP((I19/G19*30.4),TARIFA,2)-VLOOKUP((I19/G19*30.4),SUBSIDIO,2))/30.4*G19,2)&lt;0,ROUND(-(((I19/G19*30.4)-VLOOKUP((I19/G19*30.4),TARIFA,1))*VLOOKUP((I19/G19*30.4),TARIFA,3)+VLOOKUP((I19/G19*30.4),TARIFA,2)-VLOOKUP((I19/G19*30.4),SUBSIDIO,2))/30.4*G19,2),0),0)</f>
        <v>0</v>
      </c>
      <c r="K19" s="141">
        <f>IFERROR(IF(ROUND((((I19/G19*30.4)-VLOOKUP((I19/G19*30.4),TARIFA,1))*VLOOKUP((I19/G19*30.4),TARIFA,3)+VLOOKUP((I19/G19*30.4),TARIFA,2)-VLOOKUP((I19/G19*30.4),SUBSIDIO,2))/30.4*G19,2)&gt;0,ROUND((((I19/G19*30.4)-VLOOKUP((I19/G19*30.4),TARIFA,1))*VLOOKUP((I19/G19*30.4),TARIFA,3)+VLOOKUP((I19/G19*30.4),TARIFA,2)-VLOOKUP((I19/G19*30.4),SUBSIDIO,2))/30.4*G19,2),0),0)</f>
        <v>266.29000000000002</v>
      </c>
      <c r="L19" s="141">
        <v>0</v>
      </c>
      <c r="M19" s="141">
        <f t="shared" si="0"/>
        <v>3423.71</v>
      </c>
      <c r="N19" s="19"/>
      <c r="Q19" s="51"/>
      <c r="R19" s="52"/>
    </row>
    <row r="20" spans="4:18" ht="32.1" customHeight="1" x14ac:dyDescent="0.25">
      <c r="D20" s="339"/>
      <c r="E20" s="137" t="s">
        <v>21</v>
      </c>
      <c r="F20" s="143"/>
      <c r="G20" s="138"/>
      <c r="H20" s="141"/>
      <c r="I20" s="141"/>
      <c r="J20" s="355"/>
      <c r="K20" s="141"/>
      <c r="L20" s="141"/>
      <c r="M20" s="141"/>
      <c r="N20" s="19"/>
      <c r="Q20" s="51"/>
      <c r="R20" s="52"/>
    </row>
    <row r="21" spans="4:18" ht="32.1" customHeight="1" x14ac:dyDescent="0.2">
      <c r="D21" s="339" t="s">
        <v>326</v>
      </c>
      <c r="E21" s="143" t="s">
        <v>140</v>
      </c>
      <c r="F21" s="143" t="s">
        <v>237</v>
      </c>
      <c r="G21" s="152">
        <v>15</v>
      </c>
      <c r="H21" s="141">
        <v>2982</v>
      </c>
      <c r="I21" s="141">
        <v>2982</v>
      </c>
      <c r="J21" s="355">
        <f>IFERROR(IF(ROUND((((I21/G21*30.4)-VLOOKUP((I21/G21*30.4),TARIFA,1))*VLOOKUP((I21/G21*30.4),TARIFA,3)+VLOOKUP((I21/G21*30.4),TARIFA,2)-VLOOKUP((I21/G21*30.4),SUBSIDIO,2))/30.4*G21,2)&lt;0,ROUND(-(((I21/G21*30.4)-VLOOKUP((I21/G21*30.4),TARIFA,1))*VLOOKUP((I21/G21*30.4),TARIFA,3)+VLOOKUP((I21/G21*30.4),TARIFA,2)-VLOOKUP((I21/G21*30.4),SUBSIDIO,2))/30.4*G21,2),0),0)</f>
        <v>0</v>
      </c>
      <c r="K21" s="141">
        <f>IFERROR(IF(ROUND((((I21/G21*30.4)-VLOOKUP((I21/G21*30.4),TARIFA,1))*VLOOKUP((I21/G21*30.4),TARIFA,3)+VLOOKUP((I21/G21*30.4),TARIFA,2)-VLOOKUP((I21/G21*30.4),SUBSIDIO,2))/30.4*G21,2)&gt;0,ROUND((((I21/G21*30.4)-VLOOKUP((I21/G21*30.4),TARIFA,1))*VLOOKUP((I21/G21*30.4),TARIFA,3)+VLOOKUP((I21/G21*30.4),TARIFA,2)-VLOOKUP((I21/G21*30.4),SUBSIDIO,2))/30.4*G21,2),0),0)</f>
        <v>43.88</v>
      </c>
      <c r="L21" s="141"/>
      <c r="M21" s="141">
        <f t="shared" si="0"/>
        <v>2938.12</v>
      </c>
      <c r="N21" s="19"/>
      <c r="Q21" s="51"/>
      <c r="R21" s="52"/>
    </row>
    <row r="22" spans="4:18" ht="32.1" customHeight="1" x14ac:dyDescent="0.25">
      <c r="D22" s="339"/>
      <c r="E22" s="137" t="s">
        <v>99</v>
      </c>
      <c r="F22" s="143"/>
      <c r="G22" s="138"/>
      <c r="H22" s="141"/>
      <c r="I22" s="141"/>
      <c r="J22" s="355"/>
      <c r="K22" s="141"/>
      <c r="L22" s="141"/>
      <c r="M22" s="141"/>
      <c r="N22" s="19"/>
      <c r="Q22" s="51"/>
      <c r="R22" s="52"/>
    </row>
    <row r="23" spans="4:18" ht="32.1" customHeight="1" x14ac:dyDescent="0.2">
      <c r="D23" s="339" t="s">
        <v>327</v>
      </c>
      <c r="E23" s="143" t="s">
        <v>132</v>
      </c>
      <c r="F23" s="143" t="s">
        <v>100</v>
      </c>
      <c r="G23" s="138">
        <v>15</v>
      </c>
      <c r="H23" s="141">
        <v>3908</v>
      </c>
      <c r="I23" s="141">
        <v>3908</v>
      </c>
      <c r="J23" s="355">
        <f>IFERROR(IF(ROUND((((I23/G23*30.4)-VLOOKUP((I23/G23*30.4),TARIFA,1))*VLOOKUP((I23/G23*30.4),TARIFA,3)+VLOOKUP((I23/G23*30.4),TARIFA,2)-VLOOKUP((I23/G23*30.4),SUBSIDIO,2))/30.4*G23,2)&lt;0,ROUND(-(((I23/G23*30.4)-VLOOKUP((I23/G23*30.4),TARIFA,1))*VLOOKUP((I23/G23*30.4),TARIFA,3)+VLOOKUP((I23/G23*30.4),TARIFA,2)-VLOOKUP((I23/G23*30.4),SUBSIDIO,2))/30.4*G23,2),0),0)</f>
        <v>0</v>
      </c>
      <c r="K23" s="141">
        <f>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</f>
        <v>290</v>
      </c>
      <c r="L23" s="141">
        <v>0</v>
      </c>
      <c r="M23" s="141">
        <f t="shared" si="0"/>
        <v>3618</v>
      </c>
      <c r="N23" s="19"/>
      <c r="Q23" s="51"/>
      <c r="R23" s="52"/>
    </row>
    <row r="24" spans="4:18" ht="32.1" customHeight="1" x14ac:dyDescent="0.25">
      <c r="D24" s="339"/>
      <c r="E24" s="137" t="s">
        <v>91</v>
      </c>
      <c r="F24" s="143"/>
      <c r="G24" s="138"/>
      <c r="H24" s="141"/>
      <c r="I24" s="141"/>
      <c r="J24" s="355"/>
      <c r="K24" s="141"/>
      <c r="L24" s="141"/>
      <c r="M24" s="141"/>
      <c r="N24" s="19"/>
      <c r="Q24" s="51"/>
      <c r="R24" s="52"/>
    </row>
    <row r="25" spans="4:18" ht="32.1" customHeight="1" x14ac:dyDescent="0.2">
      <c r="D25" s="339" t="s">
        <v>328</v>
      </c>
      <c r="E25" s="143" t="s">
        <v>144</v>
      </c>
      <c r="F25" s="143" t="s">
        <v>70</v>
      </c>
      <c r="G25" s="138">
        <v>15</v>
      </c>
      <c r="H25" s="141">
        <v>3908</v>
      </c>
      <c r="I25" s="141">
        <v>3908</v>
      </c>
      <c r="J25" s="355">
        <f>IFERROR(IF(ROUND((((I25/G25*30.4)-VLOOKUP((I25/G25*30.4),TARIFA,1))*VLOOKUP((I25/G25*30.4),TARIFA,3)+VLOOKUP((I25/G25*30.4),TARIFA,2)-VLOOKUP((I25/G25*30.4),SUBSIDIO,2))/30.4*G25,2)&lt;0,ROUND(-(((I25/G25*30.4)-VLOOKUP((I25/G25*30.4),TARIFA,1))*VLOOKUP((I25/G25*30.4),TARIFA,3)+VLOOKUP((I25/G25*30.4),TARIFA,2)-VLOOKUP((I25/G25*30.4),SUBSIDIO,2))/30.4*G25,2),0),0)</f>
        <v>0</v>
      </c>
      <c r="K25" s="141">
        <f>IFERROR(IF(ROUND((((I25/G25*30.4)-VLOOKUP((I25/G25*30.4),TARIFA,1))*VLOOKUP((I25/G25*30.4),TARIFA,3)+VLOOKUP((I25/G25*30.4),TARIFA,2)-VLOOKUP((I25/G25*30.4),SUBSIDIO,2))/30.4*G25,2)&gt;0,ROUND((((I25/G25*30.4)-VLOOKUP((I25/G25*30.4),TARIFA,1))*VLOOKUP((I25/G25*30.4),TARIFA,3)+VLOOKUP((I25/G25*30.4),TARIFA,2)-VLOOKUP((I25/G25*30.4),SUBSIDIO,2))/30.4*G25,2),0),0)</f>
        <v>290</v>
      </c>
      <c r="L25" s="141">
        <v>0</v>
      </c>
      <c r="M25" s="141">
        <f t="shared" si="0"/>
        <v>3618</v>
      </c>
      <c r="N25" s="19"/>
      <c r="Q25" s="51"/>
      <c r="R25" s="52"/>
    </row>
    <row r="26" spans="4:18" ht="32.1" customHeight="1" x14ac:dyDescent="0.2">
      <c r="D26" s="339" t="s">
        <v>329</v>
      </c>
      <c r="E26" s="153" t="s">
        <v>133</v>
      </c>
      <c r="F26" s="143" t="s">
        <v>134</v>
      </c>
      <c r="G26" s="138">
        <v>15</v>
      </c>
      <c r="H26" s="140">
        <v>2375</v>
      </c>
      <c r="I26" s="148">
        <v>2375</v>
      </c>
      <c r="J26" s="355">
        <f>IFERROR(IF(ROUND((((I26/G26*30.4)-VLOOKUP((I26/G26*30.4),TARIFA,1))*VLOOKUP((I26/G26*30.4),TARIFA,3)+VLOOKUP((I26/G26*30.4),TARIFA,2)-VLOOKUP((I26/G26*30.4),SUBSIDIO,2))/30.4*G26,2)&lt;0,ROUND(-(((I26/G26*30.4)-VLOOKUP((I26/G26*30.4),TARIFA,1))*VLOOKUP((I26/G26*30.4),TARIFA,3)+VLOOKUP((I26/G26*30.4),TARIFA,2)-VLOOKUP((I26/G26*30.4),SUBSIDIO,2))/30.4*G26,2),0),0)</f>
        <v>22.54</v>
      </c>
      <c r="K26" s="141">
        <f>IFERROR(IF(ROUND((((I26/G26*30.4)-VLOOKUP((I26/G26*30.4),TARIFA,1))*VLOOKUP((I26/G26*30.4),TARIFA,3)+VLOOKUP((I26/G26*30.4),TARIFA,2)-VLOOKUP((I26/G26*30.4),SUBSIDIO,2))/30.4*G26,2)&gt;0,ROUND((((I26/G26*30.4)-VLOOKUP((I26/G26*30.4),TARIFA,1))*VLOOKUP((I26/G26*30.4),TARIFA,3)+VLOOKUP((I26/G26*30.4),TARIFA,2)-VLOOKUP((I26/G26*30.4),SUBSIDIO,2))/30.4*G26,2),0),0)</f>
        <v>0</v>
      </c>
      <c r="L26" s="140">
        <v>0</v>
      </c>
      <c r="M26" s="141">
        <f t="shared" si="0"/>
        <v>2397.54</v>
      </c>
      <c r="N26" s="19"/>
      <c r="Q26" s="51"/>
      <c r="R26" s="52"/>
    </row>
    <row r="27" spans="4:18" ht="32.1" customHeight="1" x14ac:dyDescent="0.2">
      <c r="D27" s="339" t="s">
        <v>330</v>
      </c>
      <c r="E27" s="153" t="s">
        <v>17</v>
      </c>
      <c r="F27" s="143" t="s">
        <v>18</v>
      </c>
      <c r="G27" s="138">
        <v>15</v>
      </c>
      <c r="H27" s="141">
        <v>2227</v>
      </c>
      <c r="I27" s="141">
        <v>2227</v>
      </c>
      <c r="J27" s="355">
        <f>IFERROR(IF(ROUND((((I27/G27*30.4)-VLOOKUP((I27/G27*30.4),TARIFA,1))*VLOOKUP((I27/G27*30.4),TARIFA,3)+VLOOKUP((I27/G27*30.4),TARIFA,2)-VLOOKUP((I27/G27*30.4),SUBSIDIO,2))/30.4*G27,2)&lt;0,ROUND(-(((I27/G27*30.4)-VLOOKUP((I27/G27*30.4),TARIFA,1))*VLOOKUP((I27/G27*30.4),TARIFA,3)+VLOOKUP((I27/G27*30.4),TARIFA,2)-VLOOKUP((I27/G27*30.4),SUBSIDIO,2))/30.4*G27,2),0),0)</f>
        <v>46.5</v>
      </c>
      <c r="K27" s="141">
        <f>IFERROR(IF(ROUND((((I27/G27*30.4)-VLOOKUP((I27/G27*30.4),TARIFA,1))*VLOOKUP((I27/G27*30.4),TARIFA,3)+VLOOKUP((I27/G27*30.4),TARIFA,2)-VLOOKUP((I27/G27*30.4),SUBSIDIO,2))/30.4*G27,2)&gt;0,ROUND((((I27/G27*30.4)-VLOOKUP((I27/G27*30.4),TARIFA,1))*VLOOKUP((I27/G27*30.4),TARIFA,3)+VLOOKUP((I27/G27*30.4),TARIFA,2)-VLOOKUP((I27/G27*30.4),SUBSIDIO,2))/30.4*G27,2),0),0)</f>
        <v>0</v>
      </c>
      <c r="L27" s="141">
        <v>0</v>
      </c>
      <c r="M27" s="141">
        <f t="shared" si="0"/>
        <v>2273.5</v>
      </c>
      <c r="N27" s="19"/>
      <c r="Q27" s="51"/>
      <c r="R27" s="52"/>
    </row>
    <row r="28" spans="4:18" ht="32.1" customHeight="1" x14ac:dyDescent="0.25">
      <c r="D28" s="339"/>
      <c r="E28" s="137" t="s">
        <v>77</v>
      </c>
      <c r="F28" s="143"/>
      <c r="G28" s="138"/>
      <c r="H28" s="141"/>
      <c r="I28" s="141"/>
      <c r="J28" s="355"/>
      <c r="K28" s="141"/>
      <c r="L28" s="141"/>
      <c r="M28" s="141"/>
      <c r="N28" s="19"/>
      <c r="Q28" s="51"/>
      <c r="R28" s="52"/>
    </row>
    <row r="29" spans="4:18" ht="32.1" customHeight="1" x14ac:dyDescent="0.2">
      <c r="D29" s="339" t="s">
        <v>331</v>
      </c>
      <c r="E29" s="143" t="s">
        <v>101</v>
      </c>
      <c r="F29" s="143" t="s">
        <v>23</v>
      </c>
      <c r="G29" s="138">
        <v>15</v>
      </c>
      <c r="H29" s="141">
        <v>3582</v>
      </c>
      <c r="I29" s="141">
        <v>3582</v>
      </c>
      <c r="J29" s="355">
        <f>IFERROR(IF(ROUND((((I29/G29*30.4)-VLOOKUP((I29/G29*30.4),TARIFA,1))*VLOOKUP((I29/G29*30.4),TARIFA,3)+VLOOKUP((I29/G29*30.4),TARIFA,2)-VLOOKUP((I29/G29*30.4),SUBSIDIO,2))/30.4*G29,2)&lt;0,ROUND(-(((I29/G29*30.4)-VLOOKUP((I29/G29*30.4),TARIFA,1))*VLOOKUP((I29/G29*30.4),TARIFA,3)+VLOOKUP((I29/G29*30.4),TARIFA,2)-VLOOKUP((I29/G29*30.4),SUBSIDIO,2))/30.4*G29,2),0),0)</f>
        <v>0</v>
      </c>
      <c r="K29" s="141">
        <f>IFERROR(IF(ROUND((((I29/G29*30.4)-VLOOKUP((I29/G29*30.4),TARIFA,1))*VLOOKUP((I29/G29*30.4),TARIFA,3)+VLOOKUP((I29/G29*30.4),TARIFA,2)-VLOOKUP((I29/G29*30.4),SUBSIDIO,2))/30.4*G29,2)&gt;0,ROUND((((I29/G29*30.4)-VLOOKUP((I29/G29*30.4),TARIFA,1))*VLOOKUP((I29/G29*30.4),TARIFA,3)+VLOOKUP((I29/G29*30.4),TARIFA,2)-VLOOKUP((I29/G29*30.4),SUBSIDIO,2))/30.4*G29,2),0),0)</f>
        <v>147.16</v>
      </c>
      <c r="L29" s="141">
        <v>0</v>
      </c>
      <c r="M29" s="141">
        <f t="shared" si="0"/>
        <v>3434.84</v>
      </c>
      <c r="N29" s="19"/>
      <c r="Q29" s="51"/>
      <c r="R29" s="52"/>
    </row>
    <row r="30" spans="4:18" ht="32.1" customHeight="1" x14ac:dyDescent="0.25">
      <c r="D30" s="339"/>
      <c r="E30" s="137" t="s">
        <v>24</v>
      </c>
      <c r="F30" s="143"/>
      <c r="G30" s="138"/>
      <c r="H30" s="141"/>
      <c r="I30" s="141"/>
      <c r="J30" s="355"/>
      <c r="K30" s="141"/>
      <c r="L30" s="141"/>
      <c r="M30" s="141"/>
      <c r="N30" s="19"/>
      <c r="Q30" s="51"/>
      <c r="R30" s="52"/>
    </row>
    <row r="31" spans="4:18" ht="32.1" customHeight="1" x14ac:dyDescent="0.2">
      <c r="D31" s="339" t="s">
        <v>332</v>
      </c>
      <c r="E31" s="153" t="s">
        <v>22</v>
      </c>
      <c r="F31" s="144" t="s">
        <v>78</v>
      </c>
      <c r="G31" s="138">
        <v>15</v>
      </c>
      <c r="H31" s="141">
        <v>4383</v>
      </c>
      <c r="I31" s="141">
        <v>4383</v>
      </c>
      <c r="J31" s="355">
        <f>IFERROR(IF(ROUND((((I31/G31*30.4)-VLOOKUP((I31/G31*30.4),TARIFA,1))*VLOOKUP((I31/G31*30.4),TARIFA,3)+VLOOKUP((I31/G31*30.4),TARIFA,2)-VLOOKUP((I31/G31*30.4),SUBSIDIO,2))/30.4*G31,2)&lt;0,ROUND(-(((I31/G31*30.4)-VLOOKUP((I31/G31*30.4),TARIFA,1))*VLOOKUP((I31/G31*30.4),TARIFA,3)+VLOOKUP((I31/G31*30.4),TARIFA,2)-VLOOKUP((I31/G31*30.4),SUBSIDIO,2))/30.4*G31,2),0),0)</f>
        <v>0</v>
      </c>
      <c r="K31" s="141">
        <v>339.88</v>
      </c>
      <c r="L31" s="141">
        <v>0</v>
      </c>
      <c r="M31" s="141">
        <f t="shared" si="0"/>
        <v>4043.12</v>
      </c>
      <c r="N31" s="19"/>
      <c r="O31" s="15">
        <v>339.88</v>
      </c>
      <c r="Q31" s="51"/>
      <c r="R31" s="52"/>
    </row>
    <row r="32" spans="4:18" ht="32.1" customHeight="1" x14ac:dyDescent="0.25">
      <c r="D32" s="339"/>
      <c r="E32" s="137" t="s">
        <v>259</v>
      </c>
      <c r="F32" s="143"/>
      <c r="G32" s="138"/>
      <c r="H32" s="141"/>
      <c r="I32" s="141"/>
      <c r="J32" s="355"/>
      <c r="K32" s="141"/>
      <c r="L32" s="141"/>
      <c r="M32" s="141"/>
      <c r="N32" s="19"/>
      <c r="Q32" s="51"/>
      <c r="R32" s="52"/>
    </row>
    <row r="33" spans="2:18" ht="43.5" customHeight="1" x14ac:dyDescent="0.2">
      <c r="D33" s="339" t="s">
        <v>333</v>
      </c>
      <c r="E33" s="143" t="s">
        <v>79</v>
      </c>
      <c r="F33" s="144" t="s">
        <v>260</v>
      </c>
      <c r="G33" s="138">
        <v>15</v>
      </c>
      <c r="H33" s="141">
        <v>3908</v>
      </c>
      <c r="I33" s="141">
        <v>3908</v>
      </c>
      <c r="J33" s="355">
        <f>IFERROR(IF(ROUND((((I33/G33*30.4)-VLOOKUP((I33/G33*30.4),TARIFA,1))*VLOOKUP((I33/G33*30.4),TARIFA,3)+VLOOKUP((I33/G33*30.4),TARIFA,2)-VLOOKUP((I33/G33*30.4),SUBSIDIO,2))/30.4*G33,2)&lt;0,ROUND(-(((I33/G33*30.4)-VLOOKUP((I33/G33*30.4),TARIFA,1))*VLOOKUP((I33/G33*30.4),TARIFA,3)+VLOOKUP((I33/G33*30.4),TARIFA,2)-VLOOKUP((I33/G33*30.4),SUBSIDIO,2))/30.4*G33,2),0),0)</f>
        <v>0</v>
      </c>
      <c r="K33" s="141">
        <f>IFERROR(IF(ROUND((((I33/G33*30.4)-VLOOKUP((I33/G33*30.4),TARIFA,1))*VLOOKUP((I33/G33*30.4),TARIFA,3)+VLOOKUP((I33/G33*30.4),TARIFA,2)-VLOOKUP((I33/G33*30.4),SUBSIDIO,2))/30.4*G33,2)&gt;0,ROUND((((I33/G33*30.4)-VLOOKUP((I33/G33*30.4),TARIFA,1))*VLOOKUP((I33/G33*30.4),TARIFA,3)+VLOOKUP((I33/G33*30.4),TARIFA,2)-VLOOKUP((I33/G33*30.4),SUBSIDIO,2))/30.4*G33,2),0),0)</f>
        <v>290</v>
      </c>
      <c r="L33" s="141">
        <v>0</v>
      </c>
      <c r="M33" s="141">
        <f t="shared" si="0"/>
        <v>3618</v>
      </c>
      <c r="N33" s="19"/>
      <c r="Q33" s="51"/>
      <c r="R33" s="52"/>
    </row>
    <row r="34" spans="2:18" ht="24.95" customHeight="1" x14ac:dyDescent="0.2">
      <c r="D34" s="340"/>
      <c r="E34" s="81"/>
      <c r="F34" s="81"/>
      <c r="G34" s="80"/>
      <c r="H34" s="82">
        <f>SUM(H12:H33)</f>
        <v>66660</v>
      </c>
      <c r="I34" s="82">
        <f t="shared" ref="I34:M34" si="1">SUM(I12:I33)</f>
        <v>66660</v>
      </c>
      <c r="J34" s="82">
        <f t="shared" si="1"/>
        <v>69.039999999999992</v>
      </c>
      <c r="K34" s="82">
        <f t="shared" si="1"/>
        <v>7537.16</v>
      </c>
      <c r="L34" s="82">
        <f t="shared" si="1"/>
        <v>0</v>
      </c>
      <c r="M34" s="82">
        <f t="shared" si="1"/>
        <v>59191.880000000012</v>
      </c>
      <c r="N34" s="83"/>
      <c r="Q34" s="51"/>
      <c r="R34" s="52"/>
    </row>
    <row r="35" spans="2:18" ht="21.95" customHeight="1" x14ac:dyDescent="0.25">
      <c r="B35" s="37"/>
      <c r="C35" s="37"/>
      <c r="D35" s="480" t="s">
        <v>12</v>
      </c>
      <c r="E35" s="480"/>
      <c r="F35" s="480"/>
      <c r="G35" s="480"/>
      <c r="H35" s="480"/>
      <c r="I35" s="480"/>
      <c r="J35" s="480"/>
      <c r="K35" s="480"/>
      <c r="L35" s="480"/>
      <c r="M35" s="480"/>
      <c r="N35" s="480"/>
      <c r="Q35" s="51"/>
      <c r="R35" s="52"/>
    </row>
    <row r="36" spans="2:18" ht="21.95" customHeight="1" x14ac:dyDescent="0.25">
      <c r="B36" s="37"/>
      <c r="C36" s="37"/>
      <c r="D36" s="480" t="s">
        <v>167</v>
      </c>
      <c r="E36" s="480"/>
      <c r="F36" s="480"/>
      <c r="G36" s="480"/>
      <c r="H36" s="480"/>
      <c r="I36" s="480"/>
      <c r="J36" s="480"/>
      <c r="K36" s="480"/>
      <c r="L36" s="480"/>
      <c r="M36" s="480"/>
      <c r="N36" s="480"/>
      <c r="Q36" s="51"/>
      <c r="R36" s="52"/>
    </row>
    <row r="37" spans="2:18" ht="21.95" customHeight="1" x14ac:dyDescent="0.25">
      <c r="B37" s="37"/>
      <c r="C37" s="37"/>
      <c r="D37" s="480" t="str">
        <f>D5</f>
        <v>NOMINA 1RA QUINCENA DE MAYO DE 2021</v>
      </c>
      <c r="E37" s="480"/>
      <c r="F37" s="480"/>
      <c r="G37" s="480"/>
      <c r="H37" s="480"/>
      <c r="I37" s="480"/>
      <c r="J37" s="480"/>
      <c r="K37" s="480"/>
      <c r="L37" s="480"/>
      <c r="M37" s="480"/>
      <c r="N37" s="480"/>
      <c r="Q37" s="51"/>
      <c r="R37" s="52"/>
    </row>
    <row r="38" spans="2:18" ht="21.95" customHeight="1" x14ac:dyDescent="0.25">
      <c r="B38" s="37"/>
      <c r="C38" s="37"/>
      <c r="D38" s="480" t="s">
        <v>151</v>
      </c>
      <c r="E38" s="480"/>
      <c r="F38" s="480"/>
      <c r="G38" s="480"/>
      <c r="H38" s="480"/>
      <c r="I38" s="480"/>
      <c r="J38" s="480"/>
      <c r="K38" s="480"/>
      <c r="L38" s="480"/>
      <c r="M38" s="480"/>
      <c r="N38" s="480"/>
      <c r="Q38" s="51"/>
      <c r="R38" s="52"/>
    </row>
    <row r="39" spans="2:18" ht="18.75" customHeight="1" x14ac:dyDescent="0.2">
      <c r="B39" s="37"/>
      <c r="C39" s="37"/>
      <c r="D39" s="334"/>
      <c r="E39" s="99"/>
      <c r="F39" s="99"/>
      <c r="G39" s="93" t="s">
        <v>4</v>
      </c>
      <c r="H39" s="100"/>
      <c r="I39" s="481" t="s">
        <v>150</v>
      </c>
      <c r="J39" s="482"/>
      <c r="K39" s="481"/>
      <c r="L39" s="483"/>
      <c r="M39" s="483"/>
      <c r="N39" s="93"/>
      <c r="Q39" s="51"/>
      <c r="R39" s="52"/>
    </row>
    <row r="40" spans="2:18" ht="12" customHeight="1" x14ac:dyDescent="0.2">
      <c r="B40" s="37"/>
      <c r="C40" s="37"/>
      <c r="D40" s="335" t="s">
        <v>3</v>
      </c>
      <c r="E40" s="89"/>
      <c r="F40" s="89"/>
      <c r="G40" s="92" t="s">
        <v>5</v>
      </c>
      <c r="H40" s="93" t="s">
        <v>1</v>
      </c>
      <c r="I40" s="93" t="s">
        <v>153</v>
      </c>
      <c r="J40" s="351" t="s">
        <v>157</v>
      </c>
      <c r="K40" s="94"/>
      <c r="L40" s="94" t="s">
        <v>173</v>
      </c>
      <c r="M40" s="94" t="s">
        <v>156</v>
      </c>
      <c r="N40" s="89" t="s">
        <v>161</v>
      </c>
      <c r="Q40" s="51"/>
      <c r="R40" s="52"/>
    </row>
    <row r="41" spans="2:18" ht="18.75" customHeight="1" x14ac:dyDescent="0.25">
      <c r="B41" s="37"/>
      <c r="C41" s="37"/>
      <c r="D41" s="336"/>
      <c r="E41" s="95"/>
      <c r="F41" s="95" t="s">
        <v>10</v>
      </c>
      <c r="G41" s="89"/>
      <c r="H41" s="89" t="s">
        <v>7</v>
      </c>
      <c r="I41" s="89" t="s">
        <v>156</v>
      </c>
      <c r="J41" s="352" t="s">
        <v>158</v>
      </c>
      <c r="K41" s="93" t="s">
        <v>159</v>
      </c>
      <c r="L41" s="93" t="s">
        <v>174</v>
      </c>
      <c r="M41" s="93" t="s">
        <v>162</v>
      </c>
      <c r="N41" s="89"/>
      <c r="Q41" s="51"/>
      <c r="R41" s="52"/>
    </row>
    <row r="42" spans="2:18" ht="14.25" customHeight="1" x14ac:dyDescent="0.25">
      <c r="B42" s="37"/>
      <c r="C42" s="37"/>
      <c r="D42" s="336"/>
      <c r="E42" s="96" t="s">
        <v>14</v>
      </c>
      <c r="F42" s="96" t="s">
        <v>9</v>
      </c>
      <c r="G42" s="94"/>
      <c r="H42" s="94"/>
      <c r="I42" s="94"/>
      <c r="J42" s="353"/>
      <c r="K42" s="94"/>
      <c r="L42" s="94"/>
      <c r="M42" s="94"/>
      <c r="N42" s="94"/>
      <c r="Q42" s="51"/>
      <c r="R42" s="52"/>
    </row>
    <row r="43" spans="2:18" ht="14.25" customHeight="1" x14ac:dyDescent="0.25">
      <c r="B43" s="37"/>
      <c r="C43" s="37"/>
      <c r="D43" s="336"/>
      <c r="E43" s="101"/>
      <c r="F43" s="101"/>
      <c r="G43" s="89"/>
      <c r="H43" s="89"/>
      <c r="I43" s="89"/>
      <c r="J43" s="92"/>
      <c r="K43" s="89"/>
      <c r="L43" s="89"/>
      <c r="M43" s="89"/>
      <c r="N43" s="89"/>
      <c r="Q43" s="51"/>
      <c r="R43" s="52"/>
    </row>
    <row r="44" spans="2:18" ht="36.950000000000003" customHeight="1" x14ac:dyDescent="0.25">
      <c r="B44" s="37"/>
      <c r="C44" s="37"/>
      <c r="D44" s="341"/>
      <c r="E44" s="136" t="s">
        <v>216</v>
      </c>
      <c r="F44" s="136"/>
      <c r="G44" s="136"/>
      <c r="H44" s="136"/>
      <c r="I44" s="136"/>
      <c r="J44" s="354"/>
      <c r="K44" s="136"/>
      <c r="L44" s="136"/>
      <c r="M44" s="136"/>
      <c r="N44" s="16"/>
      <c r="Q44" s="51"/>
      <c r="R44" s="52"/>
    </row>
    <row r="45" spans="2:18" ht="36.75" hidden="1" customHeight="1" x14ac:dyDescent="0.2">
      <c r="B45" s="37"/>
      <c r="C45" s="37"/>
      <c r="D45" s="342"/>
      <c r="E45" s="236"/>
      <c r="F45" s="237"/>
      <c r="G45" s="238"/>
      <c r="H45" s="156"/>
      <c r="I45" s="141"/>
      <c r="J45" s="355"/>
      <c r="K45" s="141"/>
      <c r="L45" s="142"/>
      <c r="M45" s="141"/>
      <c r="N45" s="16"/>
      <c r="Q45" s="51"/>
      <c r="R45" s="52"/>
    </row>
    <row r="46" spans="2:18" ht="36.75" customHeight="1" x14ac:dyDescent="0.2">
      <c r="B46" s="37"/>
      <c r="C46" s="37"/>
      <c r="D46" s="339" t="s">
        <v>321</v>
      </c>
      <c r="E46" s="153" t="s">
        <v>195</v>
      </c>
      <c r="F46" s="451" t="s">
        <v>482</v>
      </c>
      <c r="G46" s="152">
        <v>15</v>
      </c>
      <c r="H46" s="141">
        <v>6249</v>
      </c>
      <c r="I46" s="141">
        <v>6249</v>
      </c>
      <c r="J46" s="355">
        <f>IFERROR(IF(ROUND((((I46/G46*30.4)-VLOOKUP((I46/G46*30.4),TARIFA,1))*VLOOKUP((I46/G46*30.4),TARIFA,3)+VLOOKUP((I46/G46*30.4),TARIFA,2)-VLOOKUP((I46/G46*30.4),SUBSIDIO,2))/30.4*G46,2)&lt;0,ROUND(-(((I46/G46*30.4)-VLOOKUP((I46/G46*30.4),TARIFA,1))*VLOOKUP((I46/G46*30.4),TARIFA,3)+VLOOKUP((I46/G46*30.4),TARIFA,2)-VLOOKUP((I46/G46*30.4),SUBSIDIO,2))/30.4*G46,2),0),0)</f>
        <v>0</v>
      </c>
      <c r="K46" s="141">
        <f>IFERROR(IF(ROUND((((I46/G46*30.4)-VLOOKUP((I46/G46*30.4),TARIFA,1))*VLOOKUP((I46/G46*30.4),TARIFA,3)+VLOOKUP((I46/G46*30.4),TARIFA,2)-VLOOKUP((I46/G46*30.4),SUBSIDIO,2))/30.4*G46,2)&gt;0,ROUND((((I46/G46*30.4)-VLOOKUP((I46/G46*30.4),TARIFA,1))*VLOOKUP((I46/G46*30.4),TARIFA,3)+VLOOKUP((I46/G46*30.4),TARIFA,2)-VLOOKUP((I46/G46*30.4),SUBSIDIO,2))/30.4*G46,2),0),0)</f>
        <v>635.85</v>
      </c>
      <c r="L46" s="141">
        <v>0</v>
      </c>
      <c r="M46" s="141">
        <f t="shared" ref="M46" si="2">I46+J46-K46</f>
        <v>5613.15</v>
      </c>
      <c r="N46" s="16"/>
      <c r="Q46" s="51"/>
      <c r="R46" s="52"/>
    </row>
    <row r="47" spans="2:18" ht="44.25" customHeight="1" x14ac:dyDescent="0.2">
      <c r="D47" s="339" t="s">
        <v>334</v>
      </c>
      <c r="E47" s="139" t="s">
        <v>128</v>
      </c>
      <c r="F47" s="234" t="s">
        <v>129</v>
      </c>
      <c r="G47" s="235">
        <v>15</v>
      </c>
      <c r="H47" s="140">
        <v>3690</v>
      </c>
      <c r="I47" s="140">
        <v>3690</v>
      </c>
      <c r="J47" s="355">
        <f>IFERROR(IF(ROUND((((I47/G47*30.4)-VLOOKUP((I47/G47*30.4),TARIFA,1))*VLOOKUP((I47/G47*30.4),TARIFA,3)+VLOOKUP((I47/G47*30.4),TARIFA,2)-VLOOKUP((I47/G47*30.4),SUBSIDIO,2))/30.4*G47,2)&lt;0,ROUND(-(((I47/G47*30.4)-VLOOKUP((I47/G47*30.4),TARIFA,1))*VLOOKUP((I47/G47*30.4),TARIFA,3)+VLOOKUP((I47/G47*30.4),TARIFA,2)-VLOOKUP((I47/G47*30.4),SUBSIDIO,2))/30.4*G47,2),0),0)</f>
        <v>0</v>
      </c>
      <c r="K47" s="141">
        <f>IFERROR(IF(ROUND((((I47/G47*30.4)-VLOOKUP((I47/G47*30.4),TARIFA,1))*VLOOKUP((I47/G47*30.4),TARIFA,3)+VLOOKUP((I47/G47*30.4),TARIFA,2)-VLOOKUP((I47/G47*30.4),SUBSIDIO,2))/30.4*G47,2)&gt;0,ROUND((((I47/G47*30.4)-VLOOKUP((I47/G47*30.4),TARIFA,1))*VLOOKUP((I47/G47*30.4),TARIFA,3)+VLOOKUP((I47/G47*30.4),TARIFA,2)-VLOOKUP((I47/G47*30.4),SUBSIDIO,2))/30.4*G47,2),0),0)</f>
        <v>266.29000000000002</v>
      </c>
      <c r="L47" s="141">
        <v>0</v>
      </c>
      <c r="M47" s="141">
        <f t="shared" ref="M47:M58" si="3">I47+J47-K47</f>
        <v>3423.71</v>
      </c>
      <c r="N47" s="19"/>
      <c r="Q47" s="51"/>
      <c r="R47" s="52"/>
    </row>
    <row r="48" spans="2:18" ht="36.950000000000003" customHeight="1" x14ac:dyDescent="0.25">
      <c r="D48" s="339"/>
      <c r="E48" s="137" t="s">
        <v>25</v>
      </c>
      <c r="F48" s="143"/>
      <c r="G48" s="138"/>
      <c r="H48" s="141"/>
      <c r="I48" s="141"/>
      <c r="J48" s="355"/>
      <c r="K48" s="141"/>
      <c r="L48" s="141"/>
      <c r="M48" s="141"/>
      <c r="N48" s="19"/>
      <c r="Q48" s="51"/>
      <c r="R48" s="52"/>
    </row>
    <row r="49" spans="2:18" ht="36.950000000000003" customHeight="1" x14ac:dyDescent="0.2">
      <c r="D49" s="339" t="s">
        <v>335</v>
      </c>
      <c r="E49" s="143" t="s">
        <v>209</v>
      </c>
      <c r="F49" s="143" t="s">
        <v>26</v>
      </c>
      <c r="G49" s="138">
        <v>15</v>
      </c>
      <c r="H49" s="141">
        <v>14457</v>
      </c>
      <c r="I49" s="141">
        <v>14457</v>
      </c>
      <c r="J49" s="355">
        <f>IFERROR(IF(ROUND((((I49/G49*30.4)-VLOOKUP((I49/G49*30.4),TARIFA,1))*VLOOKUP((I49/G49*30.4),TARIFA,3)+VLOOKUP((I49/G49*30.4),TARIFA,2)-VLOOKUP((I49/G49*30.4),SUBSIDIO,2))/30.4*G49,2)&lt;0,ROUND(-(((I49/G49*30.4)-VLOOKUP((I49/G49*30.4),TARIFA,1))*VLOOKUP((I49/G49*30.4),TARIFA,3)+VLOOKUP((I49/G49*30.4),TARIFA,2)-VLOOKUP((I49/G49*30.4),SUBSIDIO,2))/30.4*G49,2),0),0)</f>
        <v>0</v>
      </c>
      <c r="K49" s="141">
        <f>IFERROR(IF(ROUND((((I49/G49*30.4)-VLOOKUP((I49/G49*30.4),TARIFA,1))*VLOOKUP((I49/G49*30.4),TARIFA,3)+VLOOKUP((I49/G49*30.4),TARIFA,2)-VLOOKUP((I49/G49*30.4),SUBSIDIO,2))/30.4*G49,2)&gt;0,ROUND((((I49/G49*30.4)-VLOOKUP((I49/G49*30.4),TARIFA,1))*VLOOKUP((I49/G49*30.4),TARIFA,3)+VLOOKUP((I49/G49*30.4),TARIFA,2)-VLOOKUP((I49/G49*30.4),SUBSIDIO,2))/30.4*G49,2),0),0)</f>
        <v>2401.54</v>
      </c>
      <c r="L49" s="141">
        <v>0</v>
      </c>
      <c r="M49" s="141">
        <f t="shared" si="3"/>
        <v>12055.46</v>
      </c>
      <c r="N49" s="19"/>
      <c r="Q49" s="51"/>
      <c r="R49" s="52"/>
    </row>
    <row r="50" spans="2:18" ht="36.950000000000003" customHeight="1" x14ac:dyDescent="0.2">
      <c r="D50" s="339" t="s">
        <v>336</v>
      </c>
      <c r="E50" s="143" t="s">
        <v>27</v>
      </c>
      <c r="F50" s="143" t="s">
        <v>16</v>
      </c>
      <c r="G50" s="138">
        <v>15</v>
      </c>
      <c r="H50" s="141">
        <v>4410</v>
      </c>
      <c r="I50" s="141">
        <v>4410</v>
      </c>
      <c r="J50" s="355">
        <f>IFERROR(IF(ROUND((((I50/G50*30.4)-VLOOKUP((I50/G50*30.4),TARIFA,1))*VLOOKUP((I50/G50*30.4),TARIFA,3)+VLOOKUP((I50/G50*30.4),TARIFA,2)-VLOOKUP((I50/G50*30.4),SUBSIDIO,2))/30.4*G50,2)&lt;0,ROUND(-(((I50/G50*30.4)-VLOOKUP((I50/G50*30.4),TARIFA,1))*VLOOKUP((I50/G50*30.4),TARIFA,3)+VLOOKUP((I50/G50*30.4),TARIFA,2)-VLOOKUP((I50/G50*30.4),SUBSIDIO,2))/30.4*G50,2),0),0)</f>
        <v>0</v>
      </c>
      <c r="K50" s="141">
        <f>IFERROR(IF(ROUND((((I50/G50*30.4)-VLOOKUP((I50/G50*30.4),TARIFA,1))*VLOOKUP((I50/G50*30.4),TARIFA,3)+VLOOKUP((I50/G50*30.4),TARIFA,2)-VLOOKUP((I50/G50*30.4),SUBSIDIO,2))/30.4*G50,2)&gt;0,ROUND((((I50/G50*30.4)-VLOOKUP((I50/G50*30.4),TARIFA,1))*VLOOKUP((I50/G50*30.4),TARIFA,3)+VLOOKUP((I50/G50*30.4),TARIFA,2)-VLOOKUP((I50/G50*30.4),SUBSIDIO,2))/30.4*G50,2),0),0)</f>
        <v>344.62</v>
      </c>
      <c r="L50" s="141">
        <v>0</v>
      </c>
      <c r="M50" s="141">
        <f t="shared" si="3"/>
        <v>4065.38</v>
      </c>
      <c r="N50" s="19"/>
      <c r="Q50" s="51"/>
      <c r="R50" s="52"/>
    </row>
    <row r="51" spans="2:18" ht="36.950000000000003" customHeight="1" x14ac:dyDescent="0.2">
      <c r="D51" s="339" t="s">
        <v>337</v>
      </c>
      <c r="E51" s="143" t="s">
        <v>102</v>
      </c>
      <c r="F51" s="143" t="s">
        <v>16</v>
      </c>
      <c r="G51" s="138">
        <v>15</v>
      </c>
      <c r="H51" s="140">
        <v>4410</v>
      </c>
      <c r="I51" s="140">
        <v>4410</v>
      </c>
      <c r="J51" s="355">
        <f>IFERROR(IF(ROUND((((I51/G51*30.4)-VLOOKUP((I51/G51*30.4),TARIFA,1))*VLOOKUP((I51/G51*30.4),TARIFA,3)+VLOOKUP((I51/G51*30.4),TARIFA,2)-VLOOKUP((I51/G51*30.4),SUBSIDIO,2))/30.4*G51,2)&lt;0,ROUND(-(((I51/G51*30.4)-VLOOKUP((I51/G51*30.4),TARIFA,1))*VLOOKUP((I51/G51*30.4),TARIFA,3)+VLOOKUP((I51/G51*30.4),TARIFA,2)-VLOOKUP((I51/G51*30.4),SUBSIDIO,2))/30.4*G51,2),0),0)</f>
        <v>0</v>
      </c>
      <c r="K51" s="141">
        <f>IFERROR(IF(ROUND((((I51/G51*30.4)-VLOOKUP((I51/G51*30.4),TARIFA,1))*VLOOKUP((I51/G51*30.4),TARIFA,3)+VLOOKUP((I51/G51*30.4),TARIFA,2)-VLOOKUP((I51/G51*30.4),SUBSIDIO,2))/30.4*G51,2)&gt;0,ROUND((((I51/G51*30.4)-VLOOKUP((I51/G51*30.4),TARIFA,1))*VLOOKUP((I51/G51*30.4),TARIFA,3)+VLOOKUP((I51/G51*30.4),TARIFA,2)-VLOOKUP((I51/G51*30.4),SUBSIDIO,2))/30.4*G51,2),0),0)</f>
        <v>344.62</v>
      </c>
      <c r="L51" s="141">
        <v>0</v>
      </c>
      <c r="M51" s="141">
        <f t="shared" si="3"/>
        <v>4065.38</v>
      </c>
      <c r="N51" s="19"/>
      <c r="Q51" s="51"/>
      <c r="R51" s="52"/>
    </row>
    <row r="52" spans="2:18" ht="36.950000000000003" customHeight="1" x14ac:dyDescent="0.2">
      <c r="D52" s="339" t="s">
        <v>338</v>
      </c>
      <c r="E52" s="143" t="s">
        <v>28</v>
      </c>
      <c r="F52" s="143" t="s">
        <v>16</v>
      </c>
      <c r="G52" s="138">
        <v>15</v>
      </c>
      <c r="H52" s="141">
        <v>4410</v>
      </c>
      <c r="I52" s="141">
        <v>4410</v>
      </c>
      <c r="J52" s="355">
        <f>IFERROR(IF(ROUND((((I52/G52*30.4)-VLOOKUP((I52/G52*30.4),TARIFA,1))*VLOOKUP((I52/G52*30.4),TARIFA,3)+VLOOKUP((I52/G52*30.4),TARIFA,2)-VLOOKUP((I52/G52*30.4),SUBSIDIO,2))/30.4*G52,2)&lt;0,ROUND(-(((I52/G52*30.4)-VLOOKUP((I52/G52*30.4),TARIFA,1))*VLOOKUP((I52/G52*30.4),TARIFA,3)+VLOOKUP((I52/G52*30.4),TARIFA,2)-VLOOKUP((I52/G52*30.4),SUBSIDIO,2))/30.4*G52,2),0),0)</f>
        <v>0</v>
      </c>
      <c r="K52" s="141">
        <f>IFERROR(IF(ROUND((((I52/G52*30.4)-VLOOKUP((I52/G52*30.4),TARIFA,1))*VLOOKUP((I52/G52*30.4),TARIFA,3)+VLOOKUP((I52/G52*30.4),TARIFA,2)-VLOOKUP((I52/G52*30.4),SUBSIDIO,2))/30.4*G52,2)&gt;0,ROUND((((I52/G52*30.4)-VLOOKUP((I52/G52*30.4),TARIFA,1))*VLOOKUP((I52/G52*30.4),TARIFA,3)+VLOOKUP((I52/G52*30.4),TARIFA,2)-VLOOKUP((I52/G52*30.4),SUBSIDIO,2))/30.4*G52,2),0),0)</f>
        <v>344.62</v>
      </c>
      <c r="L52" s="141">
        <v>0</v>
      </c>
      <c r="M52" s="141">
        <f t="shared" si="3"/>
        <v>4065.38</v>
      </c>
      <c r="N52" s="19"/>
      <c r="Q52" s="51"/>
      <c r="R52" s="52"/>
    </row>
    <row r="53" spans="2:18" ht="36.950000000000003" customHeight="1" x14ac:dyDescent="0.25">
      <c r="D53" s="339"/>
      <c r="E53" s="137" t="s">
        <v>88</v>
      </c>
      <c r="F53" s="143"/>
      <c r="G53" s="138"/>
      <c r="H53" s="141"/>
      <c r="I53" s="141"/>
      <c r="J53" s="355"/>
      <c r="K53" s="141"/>
      <c r="L53" s="141"/>
      <c r="M53" s="141"/>
      <c r="N53" s="19"/>
      <c r="Q53" s="51"/>
      <c r="R53" s="52"/>
    </row>
    <row r="54" spans="2:18" ht="43.5" customHeight="1" x14ac:dyDescent="0.2">
      <c r="D54" s="339" t="s">
        <v>339</v>
      </c>
      <c r="E54" s="143" t="s">
        <v>56</v>
      </c>
      <c r="F54" s="144" t="s">
        <v>210</v>
      </c>
      <c r="G54" s="138">
        <v>15</v>
      </c>
      <c r="H54" s="141">
        <v>3908</v>
      </c>
      <c r="I54" s="141">
        <v>3908</v>
      </c>
      <c r="J54" s="355">
        <f>IFERROR(IF(ROUND((((I54/G54*30.4)-VLOOKUP((I54/G54*30.4),TARIFA,1))*VLOOKUP((I54/G54*30.4),TARIFA,3)+VLOOKUP((I54/G54*30.4),TARIFA,2)-VLOOKUP((I54/G54*30.4),SUBSIDIO,2))/30.4*G54,2)&lt;0,ROUND(-(((I54/G54*30.4)-VLOOKUP((I54/G54*30.4),TARIFA,1))*VLOOKUP((I54/G54*30.4),TARIFA,3)+VLOOKUP((I54/G54*30.4),TARIFA,2)-VLOOKUP((I54/G54*30.4),SUBSIDIO,2))/30.4*G54,2),0),0)</f>
        <v>0</v>
      </c>
      <c r="K54" s="141">
        <f>IFERROR(IF(ROUND((((I54/G54*30.4)-VLOOKUP((I54/G54*30.4),TARIFA,1))*VLOOKUP((I54/G54*30.4),TARIFA,3)+VLOOKUP((I54/G54*30.4),TARIFA,2)-VLOOKUP((I54/G54*30.4),SUBSIDIO,2))/30.4*G54,2)&gt;0,ROUND((((I54/G54*30.4)-VLOOKUP((I54/G54*30.4),TARIFA,1))*VLOOKUP((I54/G54*30.4),TARIFA,3)+VLOOKUP((I54/G54*30.4),TARIFA,2)-VLOOKUP((I54/G54*30.4),SUBSIDIO,2))/30.4*G54,2),0),0)</f>
        <v>290</v>
      </c>
      <c r="L54" s="141">
        <v>0</v>
      </c>
      <c r="M54" s="141">
        <f t="shared" si="3"/>
        <v>3618</v>
      </c>
      <c r="N54" s="19"/>
      <c r="Q54" s="51"/>
      <c r="R54" s="52"/>
    </row>
    <row r="55" spans="2:18" ht="36.950000000000003" customHeight="1" x14ac:dyDescent="0.25">
      <c r="D55" s="339"/>
      <c r="E55" s="137" t="s">
        <v>29</v>
      </c>
      <c r="F55" s="143"/>
      <c r="G55" s="138"/>
      <c r="H55" s="141"/>
      <c r="I55" s="141"/>
      <c r="J55" s="355"/>
      <c r="K55" s="141"/>
      <c r="L55" s="141"/>
      <c r="M55" s="141"/>
      <c r="N55" s="19"/>
      <c r="Q55" s="51"/>
      <c r="R55" s="52"/>
    </row>
    <row r="56" spans="2:18" ht="36.950000000000003" customHeight="1" x14ac:dyDescent="0.2">
      <c r="D56" s="339" t="s">
        <v>340</v>
      </c>
      <c r="E56" s="143" t="s">
        <v>171</v>
      </c>
      <c r="F56" s="143" t="s">
        <v>30</v>
      </c>
      <c r="G56" s="138">
        <v>15</v>
      </c>
      <c r="H56" s="141">
        <v>8534</v>
      </c>
      <c r="I56" s="141">
        <v>8534</v>
      </c>
      <c r="J56" s="355">
        <f>IFERROR(IF(ROUND((((I56/G56*30.4)-VLOOKUP((I56/G56*30.4),TARIFA,1))*VLOOKUP((I56/G56*30.4),TARIFA,3)+VLOOKUP((I56/G56*30.4),TARIFA,2)-VLOOKUP((I56/G56*30.4),SUBSIDIO,2))/30.4*G56,2)&lt;0,ROUND(-(((I56/G56*30.4)-VLOOKUP((I56/G56*30.4),TARIFA,1))*VLOOKUP((I56/G56*30.4),TARIFA,3)+VLOOKUP((I56/G56*30.4),TARIFA,2)-VLOOKUP((I56/G56*30.4),SUBSIDIO,2))/30.4*G56,2),0),0)</f>
        <v>0</v>
      </c>
      <c r="K56" s="141">
        <f>IFERROR(IF(ROUND((((I56/G56*30.4)-VLOOKUP((I56/G56*30.4),TARIFA,1))*VLOOKUP((I56/G56*30.4),TARIFA,3)+VLOOKUP((I56/G56*30.4),TARIFA,2)-VLOOKUP((I56/G56*30.4),SUBSIDIO,2))/30.4*G56,2)&gt;0,ROUND((((I56/G56*30.4)-VLOOKUP((I56/G56*30.4),TARIFA,1))*VLOOKUP((I56/G56*30.4),TARIFA,3)+VLOOKUP((I56/G56*30.4),TARIFA,2)-VLOOKUP((I56/G56*30.4),SUBSIDIO,2))/30.4*G56,2),0),0)</f>
        <v>1111.76</v>
      </c>
      <c r="L56" s="141">
        <v>0</v>
      </c>
      <c r="M56" s="141">
        <f t="shared" si="3"/>
        <v>7422.24</v>
      </c>
      <c r="N56" s="19"/>
      <c r="Q56" s="51"/>
      <c r="R56" s="52"/>
    </row>
    <row r="57" spans="2:18" ht="36.950000000000003" customHeight="1" x14ac:dyDescent="0.2">
      <c r="D57" s="339" t="s">
        <v>341</v>
      </c>
      <c r="E57" s="143" t="s">
        <v>80</v>
      </c>
      <c r="F57" s="143" t="s">
        <v>71</v>
      </c>
      <c r="G57" s="138">
        <v>15</v>
      </c>
      <c r="H57" s="141">
        <v>4696</v>
      </c>
      <c r="I57" s="141">
        <v>4696</v>
      </c>
      <c r="J57" s="355">
        <f>IFERROR(IF(ROUND((((I57/G57*30.4)-VLOOKUP((I57/G57*30.4),TARIFA,1))*VLOOKUP((I57/G57*30.4),TARIFA,3)+VLOOKUP((I57/G57*30.4),TARIFA,2)-VLOOKUP((I57/G57*30.4),SUBSIDIO,2))/30.4*G57,2)&lt;0,ROUND(-(((I57/G57*30.4)-VLOOKUP((I57/G57*30.4),TARIFA,1))*VLOOKUP((I57/G57*30.4),TARIFA,3)+VLOOKUP((I57/G57*30.4),TARIFA,2)-VLOOKUP((I57/G57*30.4),SUBSIDIO,2))/30.4*G57,2),0),0)</f>
        <v>0</v>
      </c>
      <c r="K57" s="141">
        <f>IFERROR(IF(ROUND((((I57/G57*30.4)-VLOOKUP((I57/G57*30.4),TARIFA,1))*VLOOKUP((I57/G57*30.4),TARIFA,3)+VLOOKUP((I57/G57*30.4),TARIFA,2)-VLOOKUP((I57/G57*30.4),SUBSIDIO,2))/30.4*G57,2)&gt;0,ROUND((((I57/G57*30.4)-VLOOKUP((I57/G57*30.4),TARIFA,1))*VLOOKUP((I57/G57*30.4),TARIFA,3)+VLOOKUP((I57/G57*30.4),TARIFA,2)-VLOOKUP((I57/G57*30.4),SUBSIDIO,2))/30.4*G57,2),0),0)</f>
        <v>375.74</v>
      </c>
      <c r="L57" s="141">
        <v>0</v>
      </c>
      <c r="M57" s="141">
        <f t="shared" si="3"/>
        <v>4320.26</v>
      </c>
      <c r="N57" s="19"/>
      <c r="Q57" s="51"/>
      <c r="R57" s="52"/>
    </row>
    <row r="58" spans="2:18" ht="36.950000000000003" customHeight="1" x14ac:dyDescent="0.2">
      <c r="D58" s="339" t="s">
        <v>342</v>
      </c>
      <c r="E58" s="143" t="s">
        <v>204</v>
      </c>
      <c r="F58" s="143" t="s">
        <v>71</v>
      </c>
      <c r="G58" s="138">
        <v>15</v>
      </c>
      <c r="H58" s="141">
        <v>6256</v>
      </c>
      <c r="I58" s="141">
        <v>6256</v>
      </c>
      <c r="J58" s="355">
        <f>IFERROR(IF(ROUND((((I58/G58*30.4)-VLOOKUP((I58/G58*30.4),TARIFA,1))*VLOOKUP((I58/G58*30.4),TARIFA,3)+VLOOKUP((I58/G58*30.4),TARIFA,2)-VLOOKUP((I58/G58*30.4),SUBSIDIO,2))/30.4*G58,2)&lt;0,ROUND(-(((I58/G58*30.4)-VLOOKUP((I58/G58*30.4),TARIFA,1))*VLOOKUP((I58/G58*30.4),TARIFA,3)+VLOOKUP((I58/G58*30.4),TARIFA,2)-VLOOKUP((I58/G58*30.4),SUBSIDIO,2))/30.4*G58,2),0),0)</f>
        <v>0</v>
      </c>
      <c r="K58" s="141">
        <f>IFERROR(IF(ROUND((((I58/G58*30.4)-VLOOKUP((I58/G58*30.4),TARIFA,1))*VLOOKUP((I58/G58*30.4),TARIFA,3)+VLOOKUP((I58/G58*30.4),TARIFA,2)-VLOOKUP((I58/G58*30.4),SUBSIDIO,2))/30.4*G58,2)&gt;0,ROUND((((I58/G58*30.4)-VLOOKUP((I58/G58*30.4),TARIFA,1))*VLOOKUP((I58/G58*30.4),TARIFA,3)+VLOOKUP((I58/G58*30.4),TARIFA,2)-VLOOKUP((I58/G58*30.4),SUBSIDIO,2))/30.4*G58,2),0),0)</f>
        <v>637.11</v>
      </c>
      <c r="L58" s="141">
        <v>0</v>
      </c>
      <c r="M58" s="141">
        <f t="shared" si="3"/>
        <v>5618.89</v>
      </c>
      <c r="N58" s="19"/>
      <c r="Q58" s="51"/>
      <c r="R58" s="52"/>
    </row>
    <row r="59" spans="2:18" ht="36.950000000000003" customHeight="1" x14ac:dyDescent="0.2">
      <c r="D59" s="339"/>
      <c r="E59" s="8"/>
      <c r="F59" s="4"/>
      <c r="G59" s="5"/>
      <c r="H59" s="19">
        <f>SUM(H46:H58)</f>
        <v>61020</v>
      </c>
      <c r="I59" s="19">
        <f t="shared" ref="I59:M59" si="4">SUM(I46:I58)</f>
        <v>61020</v>
      </c>
      <c r="J59" s="19">
        <f t="shared" si="4"/>
        <v>0</v>
      </c>
      <c r="K59" s="19">
        <f t="shared" si="4"/>
        <v>6752.15</v>
      </c>
      <c r="L59" s="19">
        <f t="shared" si="4"/>
        <v>0</v>
      </c>
      <c r="M59" s="19">
        <f t="shared" si="4"/>
        <v>54267.85</v>
      </c>
      <c r="N59" s="19"/>
      <c r="Q59" s="51"/>
      <c r="R59" s="52"/>
    </row>
    <row r="60" spans="2:18" ht="21.95" customHeight="1" x14ac:dyDescent="0.3">
      <c r="B60" s="37"/>
      <c r="C60" s="37"/>
      <c r="D60" s="484" t="s">
        <v>12</v>
      </c>
      <c r="E60" s="484"/>
      <c r="F60" s="484"/>
      <c r="G60" s="484"/>
      <c r="H60" s="484"/>
      <c r="I60" s="484"/>
      <c r="J60" s="484"/>
      <c r="K60" s="484"/>
      <c r="L60" s="484"/>
      <c r="M60" s="484"/>
      <c r="N60" s="484"/>
      <c r="Q60" s="51"/>
      <c r="R60" s="52"/>
    </row>
    <row r="61" spans="2:18" ht="21.95" customHeight="1" x14ac:dyDescent="0.3">
      <c r="B61" s="37"/>
      <c r="C61" s="37"/>
      <c r="D61" s="484" t="s">
        <v>167</v>
      </c>
      <c r="E61" s="484"/>
      <c r="F61" s="484"/>
      <c r="G61" s="484"/>
      <c r="H61" s="484"/>
      <c r="I61" s="484"/>
      <c r="J61" s="484"/>
      <c r="K61" s="484"/>
      <c r="L61" s="484"/>
      <c r="M61" s="484"/>
      <c r="N61" s="484"/>
      <c r="Q61" s="51"/>
      <c r="R61" s="52"/>
    </row>
    <row r="62" spans="2:18" ht="21.95" customHeight="1" x14ac:dyDescent="0.3">
      <c r="B62" s="37"/>
      <c r="C62" s="37"/>
      <c r="D62" s="484" t="str">
        <f>D37</f>
        <v>NOMINA 1RA QUINCENA DE MAYO DE 2021</v>
      </c>
      <c r="E62" s="484"/>
      <c r="F62" s="484"/>
      <c r="G62" s="484"/>
      <c r="H62" s="484"/>
      <c r="I62" s="484"/>
      <c r="J62" s="484"/>
      <c r="K62" s="484"/>
      <c r="L62" s="484"/>
      <c r="M62" s="484"/>
      <c r="N62" s="484"/>
      <c r="Q62" s="51"/>
      <c r="R62" s="52"/>
    </row>
    <row r="63" spans="2:18" ht="21.95" customHeight="1" x14ac:dyDescent="0.3">
      <c r="B63" s="37"/>
      <c r="C63" s="37"/>
      <c r="D63" s="484" t="s">
        <v>151</v>
      </c>
      <c r="E63" s="484"/>
      <c r="F63" s="484"/>
      <c r="G63" s="484"/>
      <c r="H63" s="484"/>
      <c r="I63" s="484"/>
      <c r="J63" s="484"/>
      <c r="K63" s="484"/>
      <c r="L63" s="484"/>
      <c r="M63" s="484"/>
      <c r="N63" s="484"/>
      <c r="Q63" s="51"/>
      <c r="R63" s="52"/>
    </row>
    <row r="64" spans="2:18" ht="21.95" customHeight="1" x14ac:dyDescent="0.2">
      <c r="B64" s="37"/>
      <c r="C64" s="37"/>
      <c r="D64" s="334"/>
      <c r="E64" s="99"/>
      <c r="F64" s="99"/>
      <c r="G64" s="93" t="s">
        <v>4</v>
      </c>
      <c r="H64" s="100"/>
      <c r="I64" s="481" t="s">
        <v>150</v>
      </c>
      <c r="J64" s="482"/>
      <c r="K64" s="481"/>
      <c r="L64" s="483"/>
      <c r="M64" s="483"/>
      <c r="N64" s="93"/>
      <c r="Q64" s="51"/>
      <c r="R64" s="52"/>
    </row>
    <row r="65" spans="2:18" ht="18.75" customHeight="1" x14ac:dyDescent="0.2">
      <c r="B65" s="37"/>
      <c r="C65" s="37"/>
      <c r="D65" s="335" t="s">
        <v>3</v>
      </c>
      <c r="E65" s="89"/>
      <c r="F65" s="89"/>
      <c r="G65" s="92" t="s">
        <v>5</v>
      </c>
      <c r="H65" s="93" t="s">
        <v>1</v>
      </c>
      <c r="I65" s="93" t="s">
        <v>153</v>
      </c>
      <c r="J65" s="351" t="s">
        <v>157</v>
      </c>
      <c r="K65" s="94"/>
      <c r="L65" s="94" t="s">
        <v>172</v>
      </c>
      <c r="M65" s="94" t="s">
        <v>156</v>
      </c>
      <c r="N65" s="89" t="s">
        <v>161</v>
      </c>
      <c r="Q65" s="51"/>
      <c r="R65" s="52"/>
    </row>
    <row r="66" spans="2:18" ht="21.95" customHeight="1" x14ac:dyDescent="0.25">
      <c r="B66" s="37"/>
      <c r="C66" s="37"/>
      <c r="D66" s="336"/>
      <c r="E66" s="95"/>
      <c r="F66" s="95" t="s">
        <v>10</v>
      </c>
      <c r="G66" s="89"/>
      <c r="H66" s="89" t="s">
        <v>7</v>
      </c>
      <c r="I66" s="89" t="s">
        <v>156</v>
      </c>
      <c r="J66" s="352" t="s">
        <v>158</v>
      </c>
      <c r="K66" s="93" t="s">
        <v>159</v>
      </c>
      <c r="L66" s="93" t="s">
        <v>174</v>
      </c>
      <c r="M66" s="93" t="s">
        <v>162</v>
      </c>
      <c r="N66" s="89"/>
      <c r="Q66" s="51"/>
      <c r="R66" s="52"/>
    </row>
    <row r="67" spans="2:18" ht="21.75" customHeight="1" x14ac:dyDescent="0.25">
      <c r="B67" s="37"/>
      <c r="C67" s="37"/>
      <c r="D67" s="337"/>
      <c r="E67" s="96" t="s">
        <v>14</v>
      </c>
      <c r="F67" s="96" t="s">
        <v>9</v>
      </c>
      <c r="G67" s="94"/>
      <c r="H67" s="94"/>
      <c r="I67" s="94"/>
      <c r="J67" s="353"/>
      <c r="K67" s="94"/>
      <c r="L67" s="94"/>
      <c r="M67" s="94"/>
      <c r="N67" s="94"/>
      <c r="Q67" s="51"/>
      <c r="R67" s="52"/>
    </row>
    <row r="68" spans="2:18" ht="36.950000000000003" customHeight="1" x14ac:dyDescent="0.25">
      <c r="B68" s="37"/>
      <c r="C68" s="37"/>
      <c r="D68" s="339"/>
      <c r="E68" s="137" t="s">
        <v>31</v>
      </c>
      <c r="F68" s="143"/>
      <c r="G68" s="138"/>
      <c r="H68" s="141"/>
      <c r="I68" s="141"/>
      <c r="J68" s="355"/>
      <c r="K68" s="141"/>
      <c r="L68" s="141"/>
      <c r="M68" s="142"/>
      <c r="N68" s="127"/>
      <c r="Q68" s="51"/>
      <c r="R68" s="52"/>
    </row>
    <row r="69" spans="2:18" ht="36.950000000000003" customHeight="1" x14ac:dyDescent="0.2">
      <c r="B69" s="37"/>
      <c r="C69" s="37"/>
      <c r="D69" s="339" t="s">
        <v>343</v>
      </c>
      <c r="E69" s="153" t="s">
        <v>33</v>
      </c>
      <c r="F69" s="143" t="s">
        <v>32</v>
      </c>
      <c r="G69" s="138">
        <v>15</v>
      </c>
      <c r="H69" s="141">
        <v>4172</v>
      </c>
      <c r="I69" s="141">
        <v>4172</v>
      </c>
      <c r="J69" s="355">
        <f t="shared" ref="J69:J74" si="5">IFERROR(IF(ROUND((((I69/G69*30.4)-VLOOKUP((I69/G69*30.4),TARIFA,1))*VLOOKUP((I69/G69*30.4),TARIFA,3)+VLOOKUP((I69/G69*30.4),TARIFA,2)-VLOOKUP((I69/G69*30.4),SUBSIDIO,2))/30.4*G69,2)&lt;0,ROUND(-(((I69/G69*30.4)-VLOOKUP((I69/G69*30.4),TARIFA,1))*VLOOKUP((I69/G69*30.4),TARIFA,3)+VLOOKUP((I69/G69*30.4),TARIFA,2)-VLOOKUP((I69/G69*30.4),SUBSIDIO,2))/30.4*G69,2),0),0)</f>
        <v>0</v>
      </c>
      <c r="K69" s="141">
        <f t="shared" ref="K69:K74" si="6">IFERROR(IF(ROUND((((I69/G69*30.4)-VLOOKUP((I69/G69*30.4),TARIFA,1))*VLOOKUP((I69/G69*30.4),TARIFA,3)+VLOOKUP((I69/G69*30.4),TARIFA,2)-VLOOKUP((I69/G69*30.4),SUBSIDIO,2))/30.4*G69,2)&gt;0,ROUND((((I69/G69*30.4)-VLOOKUP((I69/G69*30.4),TARIFA,1))*VLOOKUP((I69/G69*30.4),TARIFA,3)+VLOOKUP((I69/G69*30.4),TARIFA,2)-VLOOKUP((I69/G69*30.4),SUBSIDIO,2))/30.4*G69,2),0),0)</f>
        <v>318.73</v>
      </c>
      <c r="L69" s="141">
        <v>0</v>
      </c>
      <c r="M69" s="141">
        <f t="shared" ref="M69:M78" si="7">I69+J69-K69</f>
        <v>3853.27</v>
      </c>
      <c r="N69" s="128"/>
      <c r="Q69" s="51"/>
      <c r="R69" s="52"/>
    </row>
    <row r="70" spans="2:18" ht="36.950000000000003" customHeight="1" x14ac:dyDescent="0.2">
      <c r="B70" s="37"/>
      <c r="C70" s="37"/>
      <c r="D70" s="339" t="s">
        <v>344</v>
      </c>
      <c r="E70" s="153" t="s">
        <v>81</v>
      </c>
      <c r="F70" s="143" t="s">
        <v>32</v>
      </c>
      <c r="G70" s="138">
        <v>15</v>
      </c>
      <c r="H70" s="141">
        <v>3210</v>
      </c>
      <c r="I70" s="141">
        <v>3210</v>
      </c>
      <c r="J70" s="355">
        <f t="shared" si="5"/>
        <v>0</v>
      </c>
      <c r="K70" s="141">
        <f t="shared" si="6"/>
        <v>88.96</v>
      </c>
      <c r="L70" s="141">
        <v>0</v>
      </c>
      <c r="M70" s="141">
        <f t="shared" si="7"/>
        <v>3121.04</v>
      </c>
      <c r="N70" s="128"/>
      <c r="Q70" s="51"/>
      <c r="R70" s="52"/>
    </row>
    <row r="71" spans="2:18" ht="36.950000000000003" customHeight="1" x14ac:dyDescent="0.2">
      <c r="B71" s="37"/>
      <c r="C71" s="37"/>
      <c r="D71" s="339" t="s">
        <v>345</v>
      </c>
      <c r="E71" s="153" t="s">
        <v>35</v>
      </c>
      <c r="F71" s="143" t="s">
        <v>32</v>
      </c>
      <c r="G71" s="138">
        <v>15</v>
      </c>
      <c r="H71" s="141">
        <v>2537</v>
      </c>
      <c r="I71" s="141">
        <v>2537</v>
      </c>
      <c r="J71" s="355">
        <f t="shared" si="5"/>
        <v>12.18</v>
      </c>
      <c r="K71" s="141">
        <f t="shared" si="6"/>
        <v>0</v>
      </c>
      <c r="L71" s="141">
        <v>0</v>
      </c>
      <c r="M71" s="141">
        <f t="shared" si="7"/>
        <v>2549.1799999999998</v>
      </c>
      <c r="N71" s="128"/>
      <c r="Q71" s="51"/>
      <c r="R71" s="52"/>
    </row>
    <row r="72" spans="2:18" ht="36.950000000000003" customHeight="1" x14ac:dyDescent="0.2">
      <c r="B72" s="37"/>
      <c r="C72" s="37"/>
      <c r="D72" s="339" t="s">
        <v>346</v>
      </c>
      <c r="E72" s="153" t="s">
        <v>37</v>
      </c>
      <c r="F72" s="143" t="s">
        <v>38</v>
      </c>
      <c r="G72" s="138">
        <v>15</v>
      </c>
      <c r="H72" s="141">
        <v>3151</v>
      </c>
      <c r="I72" s="141">
        <v>3151</v>
      </c>
      <c r="J72" s="355">
        <f t="shared" si="5"/>
        <v>0</v>
      </c>
      <c r="K72" s="141">
        <f t="shared" si="6"/>
        <v>82.54</v>
      </c>
      <c r="L72" s="141">
        <v>0</v>
      </c>
      <c r="M72" s="141">
        <f t="shared" si="7"/>
        <v>3068.46</v>
      </c>
      <c r="N72" s="128"/>
      <c r="Q72" s="51"/>
      <c r="R72" s="52"/>
    </row>
    <row r="73" spans="2:18" ht="36.950000000000003" customHeight="1" x14ac:dyDescent="0.2">
      <c r="B73" s="37"/>
      <c r="C73" s="37"/>
      <c r="D73" s="339" t="s">
        <v>347</v>
      </c>
      <c r="E73" s="153" t="s">
        <v>73</v>
      </c>
      <c r="F73" s="143" t="s">
        <v>38</v>
      </c>
      <c r="G73" s="138">
        <v>15</v>
      </c>
      <c r="H73" s="141">
        <v>3151</v>
      </c>
      <c r="I73" s="141">
        <v>3151</v>
      </c>
      <c r="J73" s="355">
        <f t="shared" si="5"/>
        <v>0</v>
      </c>
      <c r="K73" s="141">
        <f t="shared" si="6"/>
        <v>82.54</v>
      </c>
      <c r="L73" s="141">
        <v>0</v>
      </c>
      <c r="M73" s="141">
        <f t="shared" si="7"/>
        <v>3068.46</v>
      </c>
      <c r="N73" s="128"/>
      <c r="Q73" s="51"/>
      <c r="R73" s="52"/>
    </row>
    <row r="74" spans="2:18" ht="38.25" customHeight="1" x14ac:dyDescent="0.2">
      <c r="B74" s="37"/>
      <c r="C74" s="37"/>
      <c r="D74" s="343" t="s">
        <v>348</v>
      </c>
      <c r="E74" s="154" t="s">
        <v>139</v>
      </c>
      <c r="F74" s="153" t="s">
        <v>32</v>
      </c>
      <c r="G74" s="152">
        <v>15</v>
      </c>
      <c r="H74" s="140">
        <v>3824</v>
      </c>
      <c r="I74" s="140">
        <v>3824</v>
      </c>
      <c r="J74" s="355">
        <f t="shared" si="5"/>
        <v>0</v>
      </c>
      <c r="K74" s="141">
        <f t="shared" si="6"/>
        <v>280.87</v>
      </c>
      <c r="L74" s="141">
        <v>0</v>
      </c>
      <c r="M74" s="141">
        <f t="shared" si="7"/>
        <v>3543.13</v>
      </c>
      <c r="N74" s="128"/>
      <c r="Q74" s="51"/>
      <c r="R74" s="52"/>
    </row>
    <row r="75" spans="2:18" ht="36.950000000000003" customHeight="1" x14ac:dyDescent="0.25">
      <c r="D75" s="339"/>
      <c r="E75" s="155" t="s">
        <v>175</v>
      </c>
      <c r="F75" s="143"/>
      <c r="G75" s="138"/>
      <c r="H75" s="141"/>
      <c r="I75" s="141"/>
      <c r="J75" s="355"/>
      <c r="K75" s="141"/>
      <c r="L75" s="141"/>
      <c r="M75" s="141"/>
      <c r="N75" s="19"/>
      <c r="Q75" s="51"/>
      <c r="R75" s="52"/>
    </row>
    <row r="76" spans="2:18" ht="34.5" customHeight="1" x14ac:dyDescent="0.2">
      <c r="D76" s="339" t="s">
        <v>349</v>
      </c>
      <c r="E76" s="153" t="s">
        <v>135</v>
      </c>
      <c r="F76" s="143" t="s">
        <v>16</v>
      </c>
      <c r="G76" s="138">
        <v>15</v>
      </c>
      <c r="H76" s="141">
        <v>4009</v>
      </c>
      <c r="I76" s="141">
        <v>4009</v>
      </c>
      <c r="J76" s="355">
        <f>IFERROR(IF(ROUND((((I76/G76*30.4)-VLOOKUP((I76/G76*30.4),TARIFA,1))*VLOOKUP((I76/G76*30.4),TARIFA,3)+VLOOKUP((I76/G76*30.4),TARIFA,2)-VLOOKUP((I76/G76*30.4),SUBSIDIO,2))/30.4*G76,2)&lt;0,ROUND(-(((I76/G76*30.4)-VLOOKUP((I76/G76*30.4),TARIFA,1))*VLOOKUP((I76/G76*30.4),TARIFA,3)+VLOOKUP((I76/G76*30.4),TARIFA,2)-VLOOKUP((I76/G76*30.4),SUBSIDIO,2))/30.4*G76,2),0),0)</f>
        <v>0</v>
      </c>
      <c r="K76" s="141">
        <f>IFERROR(IF(ROUND((((I76/G76*30.4)-VLOOKUP((I76/G76*30.4),TARIFA,1))*VLOOKUP((I76/G76*30.4),TARIFA,3)+VLOOKUP((I76/G76*30.4),TARIFA,2)-VLOOKUP((I76/G76*30.4),SUBSIDIO,2))/30.4*G76,2)&gt;0,ROUND((((I76/G76*30.4)-VLOOKUP((I76/G76*30.4),TARIFA,1))*VLOOKUP((I76/G76*30.4),TARIFA,3)+VLOOKUP((I76/G76*30.4),TARIFA,2)-VLOOKUP((I76/G76*30.4),SUBSIDIO,2))/30.4*G76,2),0),0)</f>
        <v>300.99</v>
      </c>
      <c r="L76" s="141">
        <v>0</v>
      </c>
      <c r="M76" s="141">
        <f t="shared" si="7"/>
        <v>3708.01</v>
      </c>
      <c r="N76" s="19"/>
      <c r="Q76" s="51"/>
      <c r="R76" s="52"/>
    </row>
    <row r="77" spans="2:18" ht="1.5" hidden="1" customHeight="1" x14ac:dyDescent="0.2">
      <c r="D77" s="339"/>
      <c r="E77" s="153"/>
      <c r="F77" s="143"/>
      <c r="G77" s="138"/>
      <c r="H77" s="141"/>
      <c r="I77" s="141"/>
      <c r="J77" s="355"/>
      <c r="K77" s="141"/>
      <c r="L77" s="141"/>
      <c r="M77" s="141"/>
      <c r="N77" s="19"/>
      <c r="Q77" s="51"/>
      <c r="R77" s="52"/>
    </row>
    <row r="78" spans="2:18" ht="36.950000000000003" hidden="1" customHeight="1" x14ac:dyDescent="0.2">
      <c r="D78" s="344">
        <v>35</v>
      </c>
      <c r="E78" s="241"/>
      <c r="F78" s="143"/>
      <c r="G78" s="138"/>
      <c r="H78" s="141"/>
      <c r="I78" s="141"/>
      <c r="J78" s="355"/>
      <c r="K78" s="141"/>
      <c r="L78" s="141">
        <v>0</v>
      </c>
      <c r="M78" s="141">
        <f t="shared" si="7"/>
        <v>0</v>
      </c>
      <c r="N78" s="19"/>
      <c r="Q78" s="51"/>
      <c r="R78" s="52"/>
    </row>
    <row r="79" spans="2:18" ht="3" hidden="1" customHeight="1" x14ac:dyDescent="0.2">
      <c r="D79" s="344"/>
      <c r="E79" s="153"/>
      <c r="F79" s="143"/>
      <c r="G79" s="138"/>
      <c r="H79" s="141"/>
      <c r="I79" s="141"/>
      <c r="J79" s="355"/>
      <c r="K79" s="141"/>
      <c r="L79" s="141"/>
      <c r="M79" s="141"/>
      <c r="N79" s="19"/>
      <c r="Q79" s="51"/>
      <c r="R79" s="52"/>
    </row>
    <row r="80" spans="2:18" ht="36.950000000000003" customHeight="1" x14ac:dyDescent="0.25">
      <c r="D80" s="339"/>
      <c r="E80" s="155"/>
      <c r="F80" s="143"/>
      <c r="G80" s="138"/>
      <c r="H80" s="141"/>
      <c r="I80" s="141"/>
      <c r="J80" s="355"/>
      <c r="K80" s="141"/>
      <c r="L80" s="141"/>
      <c r="M80" s="141"/>
      <c r="N80" s="19"/>
      <c r="Q80" s="51"/>
      <c r="R80" s="52"/>
    </row>
    <row r="81" spans="4:18" ht="7.5" customHeight="1" x14ac:dyDescent="0.2">
      <c r="D81" s="339"/>
      <c r="E81" s="153"/>
      <c r="F81" s="144"/>
      <c r="G81" s="138"/>
      <c r="H81" s="156"/>
      <c r="I81" s="141"/>
      <c r="J81" s="355"/>
      <c r="K81" s="141"/>
      <c r="L81" s="141"/>
      <c r="M81" s="141"/>
      <c r="N81" s="19"/>
      <c r="Q81" s="51"/>
      <c r="R81" s="52"/>
    </row>
    <row r="82" spans="4:18" ht="36.950000000000003" customHeight="1" x14ac:dyDescent="0.2">
      <c r="D82" s="345"/>
      <c r="E82" s="84"/>
      <c r="F82" s="84"/>
      <c r="G82" s="76"/>
      <c r="H82" s="85">
        <f>SUM(H69:H81)</f>
        <v>24054</v>
      </c>
      <c r="I82" s="85">
        <f t="shared" ref="I82:M82" si="8">SUM(I69:I81)</f>
        <v>24054</v>
      </c>
      <c r="J82" s="85">
        <f t="shared" si="8"/>
        <v>12.18</v>
      </c>
      <c r="K82" s="85">
        <f t="shared" si="8"/>
        <v>1154.6300000000001</v>
      </c>
      <c r="L82" s="85">
        <f t="shared" si="8"/>
        <v>0</v>
      </c>
      <c r="M82" s="85">
        <f t="shared" si="8"/>
        <v>22911.550000000003</v>
      </c>
      <c r="N82" s="77"/>
      <c r="O82" s="86"/>
      <c r="Q82" s="51"/>
      <c r="R82" s="52"/>
    </row>
    <row r="83" spans="4:18" ht="21.95" customHeight="1" x14ac:dyDescent="0.3">
      <c r="D83" s="484" t="s">
        <v>151</v>
      </c>
      <c r="E83" s="484"/>
      <c r="F83" s="484"/>
      <c r="G83" s="484"/>
      <c r="H83" s="484"/>
      <c r="I83" s="484"/>
      <c r="J83" s="484"/>
      <c r="K83" s="484"/>
      <c r="L83" s="484"/>
      <c r="M83" s="484"/>
      <c r="N83" s="484"/>
      <c r="Q83" s="51"/>
      <c r="R83" s="52"/>
    </row>
    <row r="84" spans="4:18" ht="21.95" customHeight="1" x14ac:dyDescent="0.3">
      <c r="D84" s="484" t="s">
        <v>167</v>
      </c>
      <c r="E84" s="484"/>
      <c r="F84" s="484"/>
      <c r="G84" s="484"/>
      <c r="H84" s="484"/>
      <c r="I84" s="484"/>
      <c r="J84" s="484"/>
      <c r="K84" s="484"/>
      <c r="L84" s="484"/>
      <c r="M84" s="484"/>
      <c r="N84" s="484"/>
      <c r="Q84" s="51"/>
      <c r="R84" s="52"/>
    </row>
    <row r="85" spans="4:18" ht="21.95" customHeight="1" x14ac:dyDescent="0.3">
      <c r="D85" s="484" t="str">
        <f>D62</f>
        <v>NOMINA 1RA QUINCENA DE MAYO DE 2021</v>
      </c>
      <c r="E85" s="484"/>
      <c r="F85" s="484"/>
      <c r="G85" s="484"/>
      <c r="H85" s="484"/>
      <c r="I85" s="484"/>
      <c r="J85" s="484"/>
      <c r="K85" s="484"/>
      <c r="L85" s="484"/>
      <c r="M85" s="484"/>
      <c r="N85" s="484"/>
      <c r="Q85" s="51"/>
      <c r="R85" s="52"/>
    </row>
    <row r="86" spans="4:18" ht="21.95" customHeight="1" x14ac:dyDescent="0.3">
      <c r="D86" s="484" t="s">
        <v>151</v>
      </c>
      <c r="E86" s="484"/>
      <c r="F86" s="484"/>
      <c r="G86" s="484"/>
      <c r="H86" s="484"/>
      <c r="I86" s="484"/>
      <c r="J86" s="484"/>
      <c r="K86" s="484"/>
      <c r="L86" s="484"/>
      <c r="M86" s="484"/>
      <c r="N86" s="484"/>
      <c r="Q86" s="51"/>
      <c r="R86" s="52"/>
    </row>
    <row r="87" spans="4:18" ht="21.95" customHeight="1" x14ac:dyDescent="0.2">
      <c r="D87" s="334"/>
      <c r="E87" s="99"/>
      <c r="F87" s="99"/>
      <c r="G87" s="93" t="s">
        <v>4</v>
      </c>
      <c r="H87" s="100"/>
      <c r="I87" s="481" t="s">
        <v>150</v>
      </c>
      <c r="J87" s="482"/>
      <c r="K87" s="481"/>
      <c r="L87" s="483"/>
      <c r="M87" s="483"/>
      <c r="N87" s="93"/>
      <c r="Q87" s="51"/>
      <c r="R87" s="52"/>
    </row>
    <row r="88" spans="4:18" ht="13.5" customHeight="1" x14ac:dyDescent="0.2">
      <c r="D88" s="335" t="s">
        <v>3</v>
      </c>
      <c r="E88" s="89"/>
      <c r="F88" s="89"/>
      <c r="G88" s="92" t="s">
        <v>5</v>
      </c>
      <c r="H88" s="93" t="s">
        <v>1</v>
      </c>
      <c r="I88" s="93" t="s">
        <v>153</v>
      </c>
      <c r="J88" s="351" t="s">
        <v>157</v>
      </c>
      <c r="K88" s="94"/>
      <c r="L88" s="94" t="s">
        <v>173</v>
      </c>
      <c r="M88" s="94" t="s">
        <v>156</v>
      </c>
      <c r="N88" s="89" t="s">
        <v>161</v>
      </c>
      <c r="Q88" s="51"/>
      <c r="R88" s="52"/>
    </row>
    <row r="89" spans="4:18" ht="21.95" customHeight="1" x14ac:dyDescent="0.25">
      <c r="D89" s="336"/>
      <c r="E89" s="95"/>
      <c r="F89" s="95" t="s">
        <v>10</v>
      </c>
      <c r="G89" s="89"/>
      <c r="H89" s="89" t="s">
        <v>7</v>
      </c>
      <c r="I89" s="89" t="s">
        <v>156</v>
      </c>
      <c r="J89" s="352" t="s">
        <v>158</v>
      </c>
      <c r="K89" s="93" t="s">
        <v>159</v>
      </c>
      <c r="L89" s="93" t="s">
        <v>174</v>
      </c>
      <c r="M89" s="93" t="s">
        <v>162</v>
      </c>
      <c r="N89" s="89"/>
      <c r="Q89" s="51"/>
      <c r="R89" s="52"/>
    </row>
    <row r="90" spans="4:18" ht="21.95" customHeight="1" x14ac:dyDescent="0.25">
      <c r="D90" s="337"/>
      <c r="E90" s="96" t="s">
        <v>14</v>
      </c>
      <c r="F90" s="96" t="s">
        <v>9</v>
      </c>
      <c r="G90" s="94"/>
      <c r="H90" s="94"/>
      <c r="I90" s="94"/>
      <c r="J90" s="353"/>
      <c r="K90" s="94"/>
      <c r="L90" s="94"/>
      <c r="M90" s="94"/>
      <c r="N90" s="94"/>
      <c r="Q90" s="51"/>
      <c r="R90" s="52"/>
    </row>
    <row r="91" spans="4:18" ht="36.950000000000003" customHeight="1" x14ac:dyDescent="0.25">
      <c r="D91" s="346"/>
      <c r="E91" s="157" t="s">
        <v>48</v>
      </c>
      <c r="F91" s="158"/>
      <c r="G91" s="159"/>
      <c r="H91" s="160"/>
      <c r="I91" s="160"/>
      <c r="J91" s="358"/>
      <c r="K91" s="142"/>
      <c r="L91" s="142"/>
      <c r="M91" s="142"/>
      <c r="N91" s="63"/>
      <c r="Q91" s="51"/>
      <c r="R91" s="52"/>
    </row>
    <row r="92" spans="4:18" ht="36.950000000000003" customHeight="1" x14ac:dyDescent="0.2">
      <c r="D92" s="339" t="s">
        <v>351</v>
      </c>
      <c r="E92" s="143" t="s">
        <v>233</v>
      </c>
      <c r="F92" s="144" t="s">
        <v>115</v>
      </c>
      <c r="G92" s="138">
        <v>15</v>
      </c>
      <c r="H92" s="141">
        <v>1384</v>
      </c>
      <c r="I92" s="141">
        <v>1384</v>
      </c>
      <c r="J92" s="355">
        <f t="shared" ref="J92:J98" si="9">IFERROR(IF(ROUND((((I92/G92*30.4)-VLOOKUP((I92/G92*30.4),TARIFA,1))*VLOOKUP((I92/G92*30.4),TARIFA,3)+VLOOKUP((I92/G92*30.4),TARIFA,2)-VLOOKUP((I92/G92*30.4),SUBSIDIO,2))/30.4*G92,2)&lt;0,ROUND(-(((I92/G92*30.4)-VLOOKUP((I92/G92*30.4),TARIFA,1))*VLOOKUP((I92/G92*30.4),TARIFA,3)+VLOOKUP((I92/G92*30.4),TARIFA,2)-VLOOKUP((I92/G92*30.4),SUBSIDIO,2))/30.4*G92,2),0),0)</f>
        <v>126.31</v>
      </c>
      <c r="K92" s="141">
        <f t="shared" ref="K92:K101" si="10">IFERROR(IF(ROUND((((I92/G92*30.4)-VLOOKUP((I92/G92*30.4),TARIFA,1))*VLOOKUP((I92/G92*30.4),TARIFA,3)+VLOOKUP((I92/G92*30.4),TARIFA,2)-VLOOKUP((I92/G92*30.4),SUBSIDIO,2))/30.4*G92,2)&gt;0,ROUND((((I92/G92*30.4)-VLOOKUP((I92/G92*30.4),TARIFA,1))*VLOOKUP((I92/G92*30.4),TARIFA,3)+VLOOKUP((I92/G92*30.4),TARIFA,2)-VLOOKUP((I92/G92*30.4),SUBSIDIO,2))/30.4*G92,2),0),0)</f>
        <v>0</v>
      </c>
      <c r="L92" s="141">
        <v>0</v>
      </c>
      <c r="M92" s="141">
        <f t="shared" ref="M92:M101" si="11">I92+J92-K92</f>
        <v>1510.31</v>
      </c>
      <c r="N92" s="19"/>
      <c r="Q92" s="51"/>
      <c r="R92" s="52"/>
    </row>
    <row r="93" spans="4:18" ht="36.950000000000003" customHeight="1" x14ac:dyDescent="0.2">
      <c r="D93" s="339" t="s">
        <v>352</v>
      </c>
      <c r="E93" s="143" t="s">
        <v>460</v>
      </c>
      <c r="F93" s="144" t="s">
        <v>86</v>
      </c>
      <c r="G93" s="138">
        <v>15</v>
      </c>
      <c r="H93" s="141">
        <v>1384</v>
      </c>
      <c r="I93" s="141">
        <v>1384</v>
      </c>
      <c r="J93" s="355">
        <f t="shared" si="9"/>
        <v>126.31</v>
      </c>
      <c r="K93" s="141">
        <f t="shared" si="10"/>
        <v>0</v>
      </c>
      <c r="L93" s="141">
        <v>0</v>
      </c>
      <c r="M93" s="141">
        <f t="shared" si="11"/>
        <v>1510.31</v>
      </c>
      <c r="N93" s="19"/>
      <c r="Q93" s="51"/>
      <c r="R93" s="52"/>
    </row>
    <row r="94" spans="4:18" ht="36.950000000000003" customHeight="1" x14ac:dyDescent="0.2">
      <c r="D94" s="339" t="s">
        <v>353</v>
      </c>
      <c r="E94" s="143" t="s">
        <v>485</v>
      </c>
      <c r="F94" s="144" t="s">
        <v>89</v>
      </c>
      <c r="G94" s="138">
        <v>15</v>
      </c>
      <c r="H94" s="141">
        <v>1384</v>
      </c>
      <c r="I94" s="141">
        <v>1384</v>
      </c>
      <c r="J94" s="355">
        <v>126.31</v>
      </c>
      <c r="K94" s="141">
        <f t="shared" si="10"/>
        <v>0</v>
      </c>
      <c r="L94" s="141">
        <v>0</v>
      </c>
      <c r="M94" s="141">
        <f t="shared" si="11"/>
        <v>1510.31</v>
      </c>
      <c r="N94" s="19"/>
      <c r="Q94" s="51"/>
      <c r="R94" s="52"/>
    </row>
    <row r="95" spans="4:18" ht="36.950000000000003" customHeight="1" x14ac:dyDescent="0.2">
      <c r="D95" s="339" t="s">
        <v>354</v>
      </c>
      <c r="E95" s="143" t="s">
        <v>234</v>
      </c>
      <c r="F95" s="144" t="s">
        <v>90</v>
      </c>
      <c r="G95" s="138">
        <v>15</v>
      </c>
      <c r="H95" s="141">
        <v>1384</v>
      </c>
      <c r="I95" s="141">
        <v>1384</v>
      </c>
      <c r="J95" s="355">
        <f t="shared" si="9"/>
        <v>126.31</v>
      </c>
      <c r="K95" s="141">
        <f t="shared" si="10"/>
        <v>0</v>
      </c>
      <c r="L95" s="141">
        <v>0</v>
      </c>
      <c r="M95" s="141">
        <f t="shared" si="11"/>
        <v>1510.31</v>
      </c>
      <c r="N95" s="19"/>
      <c r="Q95" s="51"/>
      <c r="R95" s="52"/>
    </row>
    <row r="96" spans="4:18" ht="36.950000000000003" customHeight="1" x14ac:dyDescent="0.2">
      <c r="D96" s="339" t="s">
        <v>355</v>
      </c>
      <c r="E96" s="143" t="s">
        <v>486</v>
      </c>
      <c r="F96" s="144" t="s">
        <v>116</v>
      </c>
      <c r="G96" s="138">
        <v>15</v>
      </c>
      <c r="H96" s="141">
        <v>1384</v>
      </c>
      <c r="I96" s="141">
        <v>1384</v>
      </c>
      <c r="J96" s="355">
        <v>126.31</v>
      </c>
      <c r="K96" s="141">
        <f t="shared" ref="K96" si="12">IFERROR(IF(ROUND((((I96/G96*30.4)-VLOOKUP((I96/G96*30.4),TARIFA,1))*VLOOKUP((I96/G96*30.4),TARIFA,3)+VLOOKUP((I96/G96*30.4),TARIFA,2)-VLOOKUP((I96/G96*30.4),SUBSIDIO,2))/30.4*G96,2)&gt;0,ROUND((((I96/G96*30.4)-VLOOKUP((I96/G96*30.4),TARIFA,1))*VLOOKUP((I96/G96*30.4),TARIFA,3)+VLOOKUP((I96/G96*30.4),TARIFA,2)-VLOOKUP((I96/G96*30.4),SUBSIDIO,2))/30.4*G96,2),0),0)</f>
        <v>0</v>
      </c>
      <c r="L96" s="141">
        <v>0</v>
      </c>
      <c r="M96" s="141">
        <f t="shared" si="11"/>
        <v>1510.31</v>
      </c>
      <c r="N96" s="19"/>
      <c r="Q96" s="51"/>
      <c r="R96" s="52"/>
    </row>
    <row r="97" spans="4:18" ht="36.950000000000003" customHeight="1" x14ac:dyDescent="0.2">
      <c r="D97" s="339" t="s">
        <v>356</v>
      </c>
      <c r="E97" s="143" t="s">
        <v>235</v>
      </c>
      <c r="F97" s="144" t="s">
        <v>117</v>
      </c>
      <c r="G97" s="138">
        <v>15</v>
      </c>
      <c r="H97" s="141">
        <v>1384</v>
      </c>
      <c r="I97" s="141">
        <v>1384</v>
      </c>
      <c r="J97" s="355">
        <f t="shared" si="9"/>
        <v>126.31</v>
      </c>
      <c r="K97" s="141">
        <f t="shared" si="10"/>
        <v>0</v>
      </c>
      <c r="L97" s="141">
        <v>0</v>
      </c>
      <c r="M97" s="141">
        <f t="shared" si="11"/>
        <v>1510.31</v>
      </c>
      <c r="N97" s="19"/>
      <c r="Q97" s="51"/>
      <c r="R97" s="52"/>
    </row>
    <row r="98" spans="4:18" ht="47.25" customHeight="1" x14ac:dyDescent="0.2">
      <c r="D98" s="339" t="s">
        <v>357</v>
      </c>
      <c r="E98" s="143" t="s">
        <v>236</v>
      </c>
      <c r="F98" s="144" t="s">
        <v>118</v>
      </c>
      <c r="G98" s="138">
        <v>15</v>
      </c>
      <c r="H98" s="141">
        <v>1384</v>
      </c>
      <c r="I98" s="141">
        <v>1384</v>
      </c>
      <c r="J98" s="355">
        <f t="shared" si="9"/>
        <v>126.31</v>
      </c>
      <c r="K98" s="141">
        <f t="shared" si="10"/>
        <v>0</v>
      </c>
      <c r="L98" s="141">
        <v>0</v>
      </c>
      <c r="M98" s="141">
        <f t="shared" si="11"/>
        <v>1510.31</v>
      </c>
      <c r="N98" s="19"/>
      <c r="Q98" s="51"/>
      <c r="R98" s="52"/>
    </row>
    <row r="99" spans="4:18" ht="36.950000000000003" customHeight="1" x14ac:dyDescent="0.25">
      <c r="D99" s="339"/>
      <c r="E99" s="137" t="s">
        <v>49</v>
      </c>
      <c r="F99" s="143"/>
      <c r="G99" s="138"/>
      <c r="H99" s="141"/>
      <c r="I99" s="141"/>
      <c r="J99" s="355"/>
      <c r="K99" s="141"/>
      <c r="L99" s="141"/>
      <c r="M99" s="141"/>
      <c r="N99" s="19"/>
      <c r="Q99" s="51"/>
      <c r="R99" s="52"/>
    </row>
    <row r="100" spans="4:18" ht="36.950000000000003" customHeight="1" x14ac:dyDescent="0.2">
      <c r="D100" s="339" t="s">
        <v>358</v>
      </c>
      <c r="E100" s="153" t="s">
        <v>51</v>
      </c>
      <c r="F100" s="143" t="s">
        <v>52</v>
      </c>
      <c r="G100" s="138">
        <v>15</v>
      </c>
      <c r="H100" s="141">
        <v>4137</v>
      </c>
      <c r="I100" s="141">
        <v>4137</v>
      </c>
      <c r="J100" s="355">
        <f>IFERROR(IF(ROUND((((I100/G100*30.4)-VLOOKUP((I100/G100*30.4),TARIFA,1))*VLOOKUP((I100/G100*30.4),TARIFA,3)+VLOOKUP((I100/G100*30.4),TARIFA,2)-VLOOKUP((I100/G100*30.4),SUBSIDIO,2))/30.4*G100,2)&lt;0,ROUND(-(((I100/G100*30.4)-VLOOKUP((I100/G100*30.4),TARIFA,1))*VLOOKUP((I100/G100*30.4),TARIFA,3)+VLOOKUP((I100/G100*30.4),TARIFA,2)-VLOOKUP((I100/G100*30.4),SUBSIDIO,2))/30.4*G100,2),0),0)</f>
        <v>0</v>
      </c>
      <c r="K100" s="141">
        <f t="shared" si="10"/>
        <v>314.92</v>
      </c>
      <c r="L100" s="141">
        <v>0</v>
      </c>
      <c r="M100" s="141">
        <f t="shared" si="11"/>
        <v>3822.08</v>
      </c>
      <c r="N100" s="19"/>
      <c r="Q100" s="51"/>
      <c r="R100" s="52"/>
    </row>
    <row r="101" spans="4:18" ht="36.950000000000003" customHeight="1" x14ac:dyDescent="0.2">
      <c r="D101" s="339" t="s">
        <v>359</v>
      </c>
      <c r="E101" s="153" t="s">
        <v>53</v>
      </c>
      <c r="F101" s="144" t="s">
        <v>54</v>
      </c>
      <c r="G101" s="152">
        <v>15</v>
      </c>
      <c r="H101" s="141">
        <v>3355</v>
      </c>
      <c r="I101" s="141">
        <v>3355</v>
      </c>
      <c r="J101" s="355">
        <f>IFERROR(IF(ROUND((((I101/G101*30.4)-VLOOKUP((I101/G101*30.4),TARIFA,1))*VLOOKUP((I101/G101*30.4),TARIFA,3)+VLOOKUP((I101/G101*30.4),TARIFA,2)-VLOOKUP((I101/G101*30.4),SUBSIDIO,2))/30.4*G101,2)&lt;0,ROUND(-(((I101/G101*30.4)-VLOOKUP((I101/G101*30.4),TARIFA,1))*VLOOKUP((I101/G101*30.4),TARIFA,3)+VLOOKUP((I101/G101*30.4),TARIFA,2)-VLOOKUP((I101/G101*30.4),SUBSIDIO,2))/30.4*G101,2),0),0)</f>
        <v>0</v>
      </c>
      <c r="K101" s="141">
        <f t="shared" si="10"/>
        <v>104.74</v>
      </c>
      <c r="L101" s="141">
        <v>0</v>
      </c>
      <c r="M101" s="141">
        <f t="shared" si="11"/>
        <v>3250.26</v>
      </c>
      <c r="N101" s="19"/>
      <c r="Q101" s="51"/>
      <c r="R101" s="52"/>
    </row>
    <row r="102" spans="4:18" ht="36.950000000000003" customHeight="1" x14ac:dyDescent="0.2">
      <c r="D102" s="347"/>
      <c r="E102" s="4"/>
      <c r="F102" s="4"/>
      <c r="G102" s="5"/>
      <c r="H102" s="19"/>
      <c r="I102" s="19"/>
      <c r="J102" s="357"/>
      <c r="K102" s="19"/>
      <c r="L102" s="19"/>
      <c r="M102" s="19"/>
      <c r="N102" s="19"/>
      <c r="Q102" s="51"/>
      <c r="R102" s="52"/>
    </row>
    <row r="103" spans="4:18" ht="36.950000000000003" customHeight="1" x14ac:dyDescent="0.2">
      <c r="D103" s="348"/>
      <c r="E103" s="20"/>
      <c r="F103" s="20"/>
      <c r="G103" s="71"/>
      <c r="H103" s="24"/>
      <c r="I103" s="25"/>
      <c r="J103" s="359"/>
      <c r="K103" s="26"/>
      <c r="L103" s="26"/>
      <c r="M103" s="26"/>
      <c r="N103" s="26"/>
    </row>
    <row r="104" spans="4:18" ht="36.950000000000003" customHeight="1" thickBot="1" x14ac:dyDescent="0.3">
      <c r="D104" s="462" t="s">
        <v>6</v>
      </c>
      <c r="E104" s="463"/>
      <c r="F104" s="463"/>
      <c r="G104" s="463"/>
      <c r="H104" s="161">
        <f>H105+H82+H59+H34</f>
        <v>168914</v>
      </c>
      <c r="I104" s="161">
        <f>I105+I82+I59+I34</f>
        <v>168914</v>
      </c>
      <c r="J104" s="360">
        <f>J105+J82+J59+J34</f>
        <v>965.38999999999976</v>
      </c>
      <c r="K104" s="161">
        <f>K105+K82+K59+K34</f>
        <v>15863.6</v>
      </c>
      <c r="L104" s="161" t="e">
        <f>L101+L100+L98+L97+L96+L95+L94+L93+L92+L81+L79+L78+L77+L76+#REF!+L74+L73+L72+L71+L70+L69+L58+L57+L56+L54+L52+L51+L50+L49+L47+L45+L33+L31+L29+L27+L26+L25+L23+L21+L19+L17+L16+L14+#REF!+L13+L12</f>
        <v>#REF!</v>
      </c>
      <c r="M104" s="161">
        <f>M105+M82+M59+M34</f>
        <v>154015.79</v>
      </c>
      <c r="N104" s="28"/>
      <c r="Q104" s="52"/>
      <c r="R104" s="52"/>
    </row>
    <row r="105" spans="4:18" ht="13.5" thickTop="1" x14ac:dyDescent="0.2">
      <c r="H105" s="456">
        <f>SUM(H92:H101)</f>
        <v>17180</v>
      </c>
      <c r="I105" s="456">
        <f t="shared" ref="I105:L105" si="13">SUM(I92:I101)</f>
        <v>17180</v>
      </c>
      <c r="J105" s="456">
        <f t="shared" si="13"/>
        <v>884.16999999999985</v>
      </c>
      <c r="K105" s="456">
        <f t="shared" si="13"/>
        <v>419.66</v>
      </c>
      <c r="L105" s="456">
        <f t="shared" si="13"/>
        <v>0</v>
      </c>
      <c r="M105" s="456">
        <f>M101+M100+M98+M97+M96+M95+M94+M93+M92</f>
        <v>17644.509999999998</v>
      </c>
    </row>
    <row r="106" spans="4:18" x14ac:dyDescent="0.2">
      <c r="H106" s="456"/>
      <c r="I106" s="456"/>
      <c r="J106" s="457"/>
      <c r="K106" s="456"/>
      <c r="L106" s="456"/>
      <c r="M106" s="456"/>
    </row>
    <row r="107" spans="4:18" x14ac:dyDescent="0.2">
      <c r="H107" s="458"/>
      <c r="I107" s="458"/>
      <c r="J107" s="459"/>
      <c r="K107" s="458"/>
      <c r="L107" s="460"/>
      <c r="M107" s="460"/>
    </row>
    <row r="108" spans="4:18" x14ac:dyDescent="0.2">
      <c r="H108" s="458"/>
      <c r="I108" s="458"/>
      <c r="J108" s="459"/>
      <c r="K108" s="458"/>
      <c r="L108" s="460"/>
      <c r="M108" s="460"/>
    </row>
    <row r="109" spans="4:18" x14ac:dyDescent="0.2">
      <c r="H109" s="453"/>
      <c r="I109" s="453"/>
      <c r="J109" s="454"/>
      <c r="K109" s="453"/>
      <c r="L109" s="70"/>
      <c r="M109" s="70"/>
    </row>
    <row r="110" spans="4:18" x14ac:dyDescent="0.2">
      <c r="H110" s="455"/>
      <c r="I110" s="455"/>
      <c r="J110" s="454"/>
      <c r="K110" s="455"/>
    </row>
    <row r="111" spans="4:18" x14ac:dyDescent="0.2">
      <c r="H111" s="455"/>
      <c r="I111" s="453"/>
      <c r="J111" s="454"/>
      <c r="K111" s="455"/>
    </row>
    <row r="112" spans="4:18" x14ac:dyDescent="0.2">
      <c r="E112" s="15" t="s">
        <v>119</v>
      </c>
      <c r="H112" s="455"/>
      <c r="I112" s="455"/>
      <c r="J112" s="454"/>
      <c r="K112" s="455"/>
      <c r="M112" s="60"/>
      <c r="N112" s="60"/>
    </row>
    <row r="113" spans="5:14" x14ac:dyDescent="0.2">
      <c r="E113" s="29" t="s">
        <v>484</v>
      </c>
      <c r="H113" s="455"/>
      <c r="I113" s="455"/>
      <c r="J113" s="454"/>
      <c r="K113" s="455"/>
      <c r="M113" s="478" t="s">
        <v>193</v>
      </c>
      <c r="N113" s="478"/>
    </row>
    <row r="114" spans="5:14" x14ac:dyDescent="0.2">
      <c r="E114" s="30" t="s">
        <v>11</v>
      </c>
      <c r="F114" s="30"/>
      <c r="H114" s="455"/>
      <c r="I114" s="455"/>
      <c r="J114" s="454"/>
      <c r="K114" s="455"/>
      <c r="M114" s="479" t="s">
        <v>164</v>
      </c>
      <c r="N114" s="479"/>
    </row>
    <row r="115" spans="5:14" x14ac:dyDescent="0.2">
      <c r="H115" s="455"/>
      <c r="I115" s="455"/>
      <c r="J115" s="454"/>
      <c r="K115" s="454"/>
      <c r="L115" s="51"/>
    </row>
    <row r="116" spans="5:14" x14ac:dyDescent="0.2">
      <c r="H116" s="455"/>
      <c r="I116" s="455"/>
      <c r="J116" s="454"/>
      <c r="K116" s="454"/>
      <c r="L116" s="51"/>
    </row>
    <row r="117" spans="5:14" x14ac:dyDescent="0.2">
      <c r="H117" s="455"/>
      <c r="I117" s="455"/>
      <c r="J117" s="454"/>
      <c r="K117" s="454"/>
      <c r="L117" s="51"/>
    </row>
    <row r="118" spans="5:14" x14ac:dyDescent="0.2">
      <c r="H118" s="455"/>
      <c r="I118" s="455"/>
      <c r="J118" s="454"/>
      <c r="K118" s="454"/>
      <c r="L118" s="51"/>
    </row>
    <row r="119" spans="5:14" x14ac:dyDescent="0.2">
      <c r="E119" s="31"/>
      <c r="H119" s="455"/>
      <c r="I119" s="455"/>
      <c r="J119" s="454"/>
      <c r="K119" s="455"/>
    </row>
    <row r="120" spans="5:14" x14ac:dyDescent="0.2">
      <c r="E120" s="32"/>
      <c r="F120" s="30"/>
      <c r="G120" s="30"/>
      <c r="H120" s="30"/>
      <c r="I120" s="30"/>
      <c r="J120" s="361"/>
      <c r="K120" s="30"/>
      <c r="L120" s="30"/>
      <c r="M120" s="30"/>
      <c r="N120" s="30"/>
    </row>
    <row r="125" spans="5:14" x14ac:dyDescent="0.2">
      <c r="E125" s="29"/>
      <c r="H125" s="29"/>
      <c r="N125" s="70">
        <f>M105+M82+M59+M34</f>
        <v>154015.79</v>
      </c>
    </row>
    <row r="140" spans="5:14" x14ac:dyDescent="0.2">
      <c r="E140" s="29"/>
      <c r="H140" s="29"/>
    </row>
    <row r="141" spans="5:14" x14ac:dyDescent="0.2">
      <c r="E141" s="30"/>
      <c r="F141" s="30"/>
      <c r="G141" s="30"/>
      <c r="H141" s="30"/>
      <c r="I141" s="30"/>
      <c r="J141" s="361"/>
      <c r="K141" s="30"/>
      <c r="L141" s="30"/>
      <c r="M141" s="30"/>
      <c r="N141" s="30"/>
    </row>
  </sheetData>
  <sheetProtection selectLockedCells="1" selectUnlockedCells="1"/>
  <mergeCells count="27">
    <mergeCell ref="D4:N4"/>
    <mergeCell ref="D84:N84"/>
    <mergeCell ref="D85:N85"/>
    <mergeCell ref="D86:N86"/>
    <mergeCell ref="D3:N3"/>
    <mergeCell ref="D5:N5"/>
    <mergeCell ref="K7:M7"/>
    <mergeCell ref="I7:J7"/>
    <mergeCell ref="D6:N6"/>
    <mergeCell ref="D37:N37"/>
    <mergeCell ref="D38:N38"/>
    <mergeCell ref="D61:N61"/>
    <mergeCell ref="D62:N62"/>
    <mergeCell ref="D83:N83"/>
    <mergeCell ref="D63:N63"/>
    <mergeCell ref="D104:G104"/>
    <mergeCell ref="M113:N113"/>
    <mergeCell ref="M114:N114"/>
    <mergeCell ref="D35:N35"/>
    <mergeCell ref="I39:J39"/>
    <mergeCell ref="K39:M39"/>
    <mergeCell ref="D60:N60"/>
    <mergeCell ref="I64:J64"/>
    <mergeCell ref="K64:M64"/>
    <mergeCell ref="D36:N36"/>
    <mergeCell ref="I87:J87"/>
    <mergeCell ref="K87:M87"/>
  </mergeCells>
  <phoneticPr fontId="0" type="noConversion"/>
  <pageMargins left="0.39370078740157483" right="0.39370078740157483" top="0.19685039370078741" bottom="0" header="0.11811023622047245" footer="0.23622047244094491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F176"/>
  <sheetViews>
    <sheetView topLeftCell="A139" zoomScale="68" zoomScaleNormal="68" workbookViewId="0">
      <selection activeCell="E139" sqref="E1:E1048576"/>
    </sheetView>
  </sheetViews>
  <sheetFormatPr baseColWidth="10" defaultRowHeight="12.75" x14ac:dyDescent="0.2"/>
  <cols>
    <col min="1" max="1" width="11.42578125" style="1"/>
    <col min="2" max="2" width="6.42578125" style="1" customWidth="1"/>
    <col min="3" max="3" width="5.140625" style="1" hidden="1" customWidth="1"/>
    <col min="4" max="4" width="4.5703125" style="381" customWidth="1"/>
    <col min="5" max="5" width="62.5703125" style="1" customWidth="1"/>
    <col min="6" max="6" width="66.28515625" style="1" customWidth="1"/>
    <col min="7" max="7" width="5.7109375" style="1" customWidth="1"/>
    <col min="8" max="8" width="22.7109375" style="1" customWidth="1"/>
    <col min="9" max="9" width="21.42578125" style="1" customWidth="1"/>
    <col min="10" max="10" width="16" style="54" bestFit="1" customWidth="1"/>
    <col min="11" max="11" width="15.42578125" style="54" bestFit="1" customWidth="1"/>
    <col min="12" max="12" width="19.42578125" style="1" hidden="1" customWidth="1"/>
    <col min="13" max="13" width="19.28515625" style="1" customWidth="1"/>
    <col min="14" max="14" width="80.140625" style="1" customWidth="1"/>
    <col min="15" max="16" width="11.42578125" style="1"/>
    <col min="17" max="17" width="12.140625" style="1" bestFit="1" customWidth="1"/>
    <col min="18" max="16384" width="11.42578125" style="1"/>
  </cols>
  <sheetData>
    <row r="2" spans="4:18" x14ac:dyDescent="0.2">
      <c r="D2" s="366"/>
      <c r="E2" s="12"/>
      <c r="F2" s="12"/>
      <c r="G2" s="12"/>
      <c r="H2" s="12"/>
      <c r="I2" s="12"/>
      <c r="J2" s="382"/>
      <c r="K2" s="382"/>
      <c r="L2" s="12"/>
      <c r="M2" s="12"/>
      <c r="N2" s="12"/>
    </row>
    <row r="3" spans="4:18" ht="35.1" customHeight="1" x14ac:dyDescent="0.3">
      <c r="D3" s="489" t="s">
        <v>268</v>
      </c>
      <c r="E3" s="490"/>
      <c r="F3" s="490"/>
      <c r="G3" s="490"/>
      <c r="H3" s="490"/>
      <c r="I3" s="490"/>
      <c r="J3" s="490"/>
      <c r="K3" s="490"/>
      <c r="L3" s="490"/>
      <c r="M3" s="490"/>
      <c r="N3" s="491"/>
    </row>
    <row r="4" spans="4:18" ht="35.1" customHeight="1" x14ac:dyDescent="0.3">
      <c r="D4" s="503" t="s">
        <v>167</v>
      </c>
      <c r="E4" s="487"/>
      <c r="F4" s="487"/>
      <c r="G4" s="487"/>
      <c r="H4" s="487"/>
      <c r="I4" s="487"/>
      <c r="J4" s="487"/>
      <c r="K4" s="487"/>
      <c r="L4" s="487"/>
      <c r="M4" s="487"/>
      <c r="N4" s="504"/>
    </row>
    <row r="5" spans="4:18" ht="35.1" customHeight="1" x14ac:dyDescent="0.3">
      <c r="D5" s="492" t="str">
        <f>PERMANENTES!D37</f>
        <v>NOMINA 1RA QUINCENA DE MAYO DE 2021</v>
      </c>
      <c r="E5" s="488"/>
      <c r="F5" s="488"/>
      <c r="G5" s="488"/>
      <c r="H5" s="488"/>
      <c r="I5" s="488"/>
      <c r="J5" s="488"/>
      <c r="K5" s="488"/>
      <c r="L5" s="488"/>
      <c r="M5" s="488"/>
      <c r="N5" s="493"/>
    </row>
    <row r="6" spans="4:18" ht="35.1" customHeight="1" x14ac:dyDescent="0.3">
      <c r="D6" s="497" t="s">
        <v>154</v>
      </c>
      <c r="E6" s="498"/>
      <c r="F6" s="498"/>
      <c r="G6" s="498"/>
      <c r="H6" s="498"/>
      <c r="I6" s="498"/>
      <c r="J6" s="498"/>
      <c r="K6" s="498"/>
      <c r="L6" s="498"/>
      <c r="M6" s="498"/>
      <c r="N6" s="499"/>
    </row>
    <row r="7" spans="4:18" ht="35.1" customHeight="1" x14ac:dyDescent="0.2">
      <c r="D7" s="500" t="s">
        <v>360</v>
      </c>
      <c r="E7" s="104"/>
      <c r="F7" s="103"/>
      <c r="G7" s="109" t="s">
        <v>4</v>
      </c>
      <c r="H7" s="494" t="s">
        <v>0</v>
      </c>
      <c r="I7" s="495"/>
      <c r="J7" s="496"/>
      <c r="K7" s="383"/>
      <c r="L7" s="106"/>
      <c r="M7" s="105"/>
      <c r="N7" s="107"/>
    </row>
    <row r="8" spans="4:18" ht="35.1" customHeight="1" x14ac:dyDescent="0.2">
      <c r="D8" s="501"/>
      <c r="E8" s="107"/>
      <c r="F8" s="107"/>
      <c r="G8" s="108" t="s">
        <v>5</v>
      </c>
      <c r="H8" s="109" t="s">
        <v>1</v>
      </c>
      <c r="I8" s="109" t="s">
        <v>153</v>
      </c>
      <c r="J8" s="384" t="s">
        <v>157</v>
      </c>
      <c r="K8" s="384"/>
      <c r="L8" s="105" t="s">
        <v>172</v>
      </c>
      <c r="M8" s="105" t="s">
        <v>156</v>
      </c>
      <c r="N8" s="110"/>
    </row>
    <row r="9" spans="4:18" ht="35.1" customHeight="1" x14ac:dyDescent="0.25">
      <c r="D9" s="501"/>
      <c r="E9" s="111"/>
      <c r="F9" s="112" t="s">
        <v>10</v>
      </c>
      <c r="G9" s="105"/>
      <c r="H9" s="105" t="s">
        <v>7</v>
      </c>
      <c r="I9" s="105" t="s">
        <v>156</v>
      </c>
      <c r="J9" s="108" t="s">
        <v>158</v>
      </c>
      <c r="K9" s="108" t="s">
        <v>159</v>
      </c>
      <c r="L9" s="105" t="s">
        <v>174</v>
      </c>
      <c r="M9" s="105" t="s">
        <v>162</v>
      </c>
      <c r="N9" s="109" t="s">
        <v>165</v>
      </c>
    </row>
    <row r="10" spans="4:18" ht="35.1" customHeight="1" x14ac:dyDescent="0.25">
      <c r="D10" s="502"/>
      <c r="E10" s="111" t="s">
        <v>76</v>
      </c>
      <c r="F10" s="111" t="s">
        <v>9</v>
      </c>
      <c r="G10" s="109"/>
      <c r="H10" s="109"/>
      <c r="I10" s="109"/>
      <c r="J10" s="384"/>
      <c r="K10" s="385"/>
      <c r="L10" s="113"/>
      <c r="M10" s="109"/>
      <c r="N10" s="109"/>
    </row>
    <row r="11" spans="4:18" s="9" customFormat="1" ht="35.1" customHeight="1" x14ac:dyDescent="0.3">
      <c r="D11" s="367"/>
      <c r="E11" s="188" t="s">
        <v>20</v>
      </c>
      <c r="F11" s="189"/>
      <c r="G11" s="190"/>
      <c r="H11" s="191"/>
      <c r="I11" s="191"/>
      <c r="J11" s="386"/>
      <c r="K11" s="387"/>
      <c r="L11" s="192"/>
      <c r="M11" s="191"/>
      <c r="N11" s="44"/>
    </row>
    <row r="12" spans="4:18" ht="45" customHeight="1" x14ac:dyDescent="0.3">
      <c r="D12" s="368" t="s">
        <v>361</v>
      </c>
      <c r="E12" s="193" t="s">
        <v>97</v>
      </c>
      <c r="F12" s="194" t="s">
        <v>82</v>
      </c>
      <c r="G12" s="195">
        <v>15</v>
      </c>
      <c r="H12" s="196">
        <v>1980</v>
      </c>
      <c r="I12" s="197">
        <f>H12</f>
        <v>1980</v>
      </c>
      <c r="J12" s="196">
        <f>IFERROR(IF(ROUND((((I12/G12*30.4)-VLOOKUP((I12/G12*30.4),TARIFA,1))*VLOOKUP((I12/G12*30.4),TARIFA,3)+VLOOKUP((I12/G12*30.4),TARIFA,2)-VLOOKUP((I12/G12*30.4),SUBSIDIO,2))/30.4*G12,2)&lt;0,ROUND(-(((I12/G12*30.4)-VLOOKUP((I12/G12*30.4),TARIFA,1))*VLOOKUP((I12/G12*30.4),TARIFA,3)+VLOOKUP((I12/G12*30.4),TARIFA,2)-VLOOKUP((I12/G12*30.4),SUBSIDIO,2))/30.4*G12,2),0),0)</f>
        <v>76.239999999999995</v>
      </c>
      <c r="K12" s="196">
        <f>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</f>
        <v>0</v>
      </c>
      <c r="L12" s="197">
        <v>0</v>
      </c>
      <c r="M12" s="197">
        <f>I12+J12-K12-L12</f>
        <v>2056.2399999999998</v>
      </c>
      <c r="N12" s="19"/>
      <c r="Q12" s="54"/>
      <c r="R12" s="56"/>
    </row>
    <row r="13" spans="4:18" ht="45" customHeight="1" x14ac:dyDescent="0.3">
      <c r="D13" s="368" t="s">
        <v>362</v>
      </c>
      <c r="E13" s="193" t="s">
        <v>238</v>
      </c>
      <c r="F13" s="194" t="s">
        <v>18</v>
      </c>
      <c r="G13" s="195">
        <v>15</v>
      </c>
      <c r="H13" s="196">
        <v>2400</v>
      </c>
      <c r="I13" s="197">
        <v>2400</v>
      </c>
      <c r="J13" s="196">
        <f>IFERROR(IF(ROUND((((I13/G13*30.4)-VLOOKUP((I13/G13*30.4),TARIFA,1))*VLOOKUP((I13/G13*30.4),TARIFA,3)+VLOOKUP((I13/G13*30.4),TARIFA,2)-VLOOKUP((I13/G13*30.4),SUBSIDIO,2))/30.4*G13,2)&lt;0,ROUND(-(((I13/G13*30.4)-VLOOKUP((I13/G13*30.4),TARIFA,1))*VLOOKUP((I13/G13*30.4),TARIFA,3)+VLOOKUP((I13/G13*30.4),TARIFA,2)-VLOOKUP((I13/G13*30.4),SUBSIDIO,2))/30.4*G13,2),0),0)</f>
        <v>20.94</v>
      </c>
      <c r="K13" s="196">
        <f>IFERROR(IF(ROUND((((I13/G13*30.4)-VLOOKUP((I13/G13*30.4),TARIFA,1))*VLOOKUP((I13/G13*30.4),TARIFA,3)+VLOOKUP((I13/G13*30.4),TARIFA,2)-VLOOKUP((I13/G13*30.4),SUBSIDIO,2))/30.4*G13,2)&gt;0,ROUND((((I13/G13*30.4)-VLOOKUP((I13/G13*30.4),TARIFA,1))*VLOOKUP((I13/G13*30.4),TARIFA,3)+VLOOKUP((I13/G13*30.4),TARIFA,2)-VLOOKUP((I13/G13*30.4),SUBSIDIO,2))/30.4*G13,2),0),0)</f>
        <v>0</v>
      </c>
      <c r="L13" s="197"/>
      <c r="M13" s="197">
        <f>I13+J13-K13-L13</f>
        <v>2420.94</v>
      </c>
      <c r="N13" s="19"/>
      <c r="Q13" s="54"/>
      <c r="R13" s="56"/>
    </row>
    <row r="14" spans="4:18" ht="45" customHeight="1" x14ac:dyDescent="0.3">
      <c r="D14" s="368" t="s">
        <v>363</v>
      </c>
      <c r="E14" s="198" t="s">
        <v>196</v>
      </c>
      <c r="F14" s="199" t="s">
        <v>483</v>
      </c>
      <c r="G14" s="200">
        <v>15</v>
      </c>
      <c r="H14" s="197">
        <v>2321</v>
      </c>
      <c r="I14" s="197">
        <v>2321</v>
      </c>
      <c r="J14" s="196">
        <f>IFERROR(IF(ROUND((((I14/G14*30.4)-VLOOKUP((I14/G14*30.4),TARIFA,1))*VLOOKUP((I14/G14*30.4),TARIFA,3)+VLOOKUP((I14/G14*30.4),TARIFA,2)-VLOOKUP((I14/G14*30.4),SUBSIDIO,2))/30.4*G14,2)&lt;0,ROUND(-(((I14/G14*30.4)-VLOOKUP((I14/G14*30.4),TARIFA,1))*VLOOKUP((I14/G14*30.4),TARIFA,3)+VLOOKUP((I14/G14*30.4),TARIFA,2)-VLOOKUP((I14/G14*30.4),SUBSIDIO,2))/30.4*G14,2),0),0)</f>
        <v>40.49</v>
      </c>
      <c r="K14" s="196">
        <f>IFERROR(IF(ROUND((((I14/G14*30.4)-VLOOKUP((I14/G14*30.4),TARIFA,1))*VLOOKUP((I14/G14*30.4),TARIFA,3)+VLOOKUP((I14/G14*30.4),TARIFA,2)-VLOOKUP((I14/G14*30.4),SUBSIDIO,2))/30.4*G14,2)&gt;0,ROUND((((I14/G14*30.4)-VLOOKUP((I14/G14*30.4),TARIFA,1))*VLOOKUP((I14/G14*30.4),TARIFA,3)+VLOOKUP((I14/G14*30.4),TARIFA,2)-VLOOKUP((I14/G14*30.4),SUBSIDIO,2))/30.4*G14,2),0),0)</f>
        <v>0</v>
      </c>
      <c r="L14" s="197">
        <v>0</v>
      </c>
      <c r="M14" s="197">
        <f>I14+J14</f>
        <v>2361.4899999999998</v>
      </c>
      <c r="N14" s="19"/>
      <c r="Q14" s="54"/>
      <c r="R14" s="56"/>
    </row>
    <row r="15" spans="4:18" ht="45" customHeight="1" x14ac:dyDescent="0.3">
      <c r="D15" s="368"/>
      <c r="E15" s="201" t="s">
        <v>224</v>
      </c>
      <c r="F15" s="194"/>
      <c r="G15" s="195"/>
      <c r="H15" s="202"/>
      <c r="I15" s="197"/>
      <c r="J15" s="196"/>
      <c r="K15" s="196"/>
      <c r="L15" s="197"/>
      <c r="M15" s="197"/>
      <c r="N15" s="19"/>
      <c r="Q15" s="54"/>
      <c r="R15" s="56"/>
    </row>
    <row r="16" spans="4:18" ht="45" customHeight="1" x14ac:dyDescent="0.3">
      <c r="D16" s="368" t="s">
        <v>364</v>
      </c>
      <c r="E16" s="193" t="s">
        <v>197</v>
      </c>
      <c r="F16" s="194" t="s">
        <v>143</v>
      </c>
      <c r="G16" s="195">
        <v>15</v>
      </c>
      <c r="H16" s="202">
        <v>7720</v>
      </c>
      <c r="I16" s="197">
        <v>7720</v>
      </c>
      <c r="J16" s="196">
        <f>IFERROR(IF(ROUND((((I16/G16*30.4)-VLOOKUP((I16/G16*30.4),TARIFA,1))*VLOOKUP((I16/G16*30.4),TARIFA,3)+VLOOKUP((I16/G16*30.4),TARIFA,2)-VLOOKUP((I16/G16*30.4),SUBSIDIO,2))/30.4*G16,2)&lt;0,ROUND(-(((I16/G16*30.4)-VLOOKUP((I16/G16*30.4),TARIFA,1))*VLOOKUP((I16/G16*30.4),TARIFA,3)+VLOOKUP((I16/G16*30.4),TARIFA,2)-VLOOKUP((I16/G16*30.4),SUBSIDIO,2))/30.4*G16,2),0),0)</f>
        <v>0</v>
      </c>
      <c r="K16" s="196">
        <f>IFERROR(IF(ROUND((((I16/G16*30.4)-VLOOKUP((I16/G16*30.4),TARIFA,1))*VLOOKUP((I16/G16*30.4),TARIFA,3)+VLOOKUP((I16/G16*30.4),TARIFA,2)-VLOOKUP((I16/G16*30.4),SUBSIDIO,2))/30.4*G16,2)&gt;0,ROUND((((I16/G16*30.4)-VLOOKUP((I16/G16*30.4),TARIFA,1))*VLOOKUP((I16/G16*30.4),TARIFA,3)+VLOOKUP((I16/G16*30.4),TARIFA,2)-VLOOKUP((I16/G16*30.4),SUBSIDIO,2))/30.4*G16,2),0),0)</f>
        <v>937.89</v>
      </c>
      <c r="L16" s="197">
        <v>0</v>
      </c>
      <c r="M16" s="197">
        <f>I16+J16-K16-L16</f>
        <v>6782.11</v>
      </c>
      <c r="N16" s="19"/>
      <c r="Q16" s="54"/>
      <c r="R16" s="56"/>
    </row>
    <row r="17" spans="4:18" ht="45" hidden="1" customHeight="1" x14ac:dyDescent="0.3">
      <c r="D17" s="368"/>
      <c r="E17" s="201"/>
      <c r="F17" s="194"/>
      <c r="G17" s="195"/>
      <c r="H17" s="202"/>
      <c r="I17" s="197"/>
      <c r="J17" s="196"/>
      <c r="K17" s="196"/>
      <c r="L17" s="197"/>
      <c r="M17" s="197"/>
      <c r="N17" s="19"/>
      <c r="Q17" s="54"/>
      <c r="R17" s="56"/>
    </row>
    <row r="18" spans="4:18" ht="45" customHeight="1" x14ac:dyDescent="0.3">
      <c r="D18" s="368"/>
      <c r="E18" s="201" t="s">
        <v>136</v>
      </c>
      <c r="F18" s="194" t="s">
        <v>223</v>
      </c>
      <c r="G18" s="195"/>
      <c r="H18" s="202"/>
      <c r="I18" s="197"/>
      <c r="J18" s="196"/>
      <c r="K18" s="196"/>
      <c r="L18" s="197"/>
      <c r="M18" s="197"/>
      <c r="N18" s="19"/>
      <c r="Q18" s="54"/>
      <c r="R18" s="56"/>
    </row>
    <row r="19" spans="4:18" ht="45" hidden="1" customHeight="1" x14ac:dyDescent="0.3">
      <c r="D19" s="368"/>
      <c r="E19" s="198"/>
      <c r="F19" s="194"/>
      <c r="G19" s="195"/>
      <c r="H19" s="202"/>
      <c r="I19" s="202"/>
      <c r="J19" s="196"/>
      <c r="K19" s="196"/>
      <c r="L19" s="202"/>
      <c r="M19" s="202"/>
      <c r="N19" s="19"/>
      <c r="Q19" s="54"/>
      <c r="R19" s="56"/>
    </row>
    <row r="20" spans="4:18" ht="45" customHeight="1" x14ac:dyDescent="0.3">
      <c r="D20" s="369" t="s">
        <v>365</v>
      </c>
      <c r="E20" s="198" t="s">
        <v>198</v>
      </c>
      <c r="F20" s="240" t="s">
        <v>199</v>
      </c>
      <c r="G20" s="200">
        <v>15</v>
      </c>
      <c r="H20" s="202">
        <v>2983</v>
      </c>
      <c r="I20" s="202">
        <v>2983</v>
      </c>
      <c r="J20" s="196">
        <f>IFERROR(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,0)</f>
        <v>0</v>
      </c>
      <c r="K20" s="196">
        <f>IFERROR(IF(ROUND((((I20/G20*30.4)-VLOOKUP((I20/G20*30.4),TARIFA,1))*VLOOKUP((I20/G20*30.4),TARIFA,3)+VLOOKUP((I20/G20*30.4),TARIFA,2)-VLOOKUP((I20/G20*30.4),SUBSIDIO,2))/30.4*G20,2)&gt;0,ROUND((((I20/G20*30.4)-VLOOKUP((I20/G20*30.4),TARIFA,1))*VLOOKUP((I20/G20*30.4),TARIFA,3)+VLOOKUP((I20/G20*30.4),TARIFA,2)-VLOOKUP((I20/G20*30.4),SUBSIDIO,2))/30.4*G20,2),0),0)</f>
        <v>43.99</v>
      </c>
      <c r="L20" s="202"/>
      <c r="M20" s="202">
        <f>I20+J20-K20-L20</f>
        <v>2939.01</v>
      </c>
      <c r="N20" s="19"/>
      <c r="Q20" s="54"/>
      <c r="R20" s="56"/>
    </row>
    <row r="21" spans="4:18" ht="45" customHeight="1" x14ac:dyDescent="0.3">
      <c r="D21" s="368"/>
      <c r="E21" s="201" t="s">
        <v>122</v>
      </c>
      <c r="F21" s="194"/>
      <c r="G21" s="195"/>
      <c r="H21" s="202"/>
      <c r="I21" s="197"/>
      <c r="J21" s="196"/>
      <c r="K21" s="196"/>
      <c r="L21" s="197"/>
      <c r="M21" s="197"/>
      <c r="N21" s="19"/>
      <c r="Q21" s="54"/>
      <c r="R21" s="56"/>
    </row>
    <row r="22" spans="4:18" ht="45" hidden="1" customHeight="1" x14ac:dyDescent="0.3">
      <c r="D22" s="368"/>
      <c r="E22" s="193"/>
      <c r="F22" s="194"/>
      <c r="G22" s="195"/>
      <c r="H22" s="202"/>
      <c r="I22" s="197"/>
      <c r="J22" s="196"/>
      <c r="K22" s="196"/>
      <c r="L22" s="197"/>
      <c r="M22" s="197"/>
      <c r="N22" s="19"/>
      <c r="Q22" s="54"/>
      <c r="R22" s="56"/>
    </row>
    <row r="23" spans="4:18" ht="45" hidden="1" customHeight="1" x14ac:dyDescent="0.3">
      <c r="D23" s="368"/>
      <c r="E23" s="193"/>
      <c r="F23" s="194"/>
      <c r="G23" s="195"/>
      <c r="H23" s="202">
        <v>0</v>
      </c>
      <c r="I23" s="197">
        <v>0</v>
      </c>
      <c r="J23" s="196"/>
      <c r="K23" s="196">
        <v>0</v>
      </c>
      <c r="L23" s="197"/>
      <c r="M23" s="197">
        <f>I23-K23</f>
        <v>0</v>
      </c>
      <c r="N23" s="19"/>
      <c r="Q23" s="54"/>
      <c r="R23" s="56"/>
    </row>
    <row r="24" spans="4:18" ht="45" customHeight="1" x14ac:dyDescent="0.3">
      <c r="D24" s="368" t="s">
        <v>366</v>
      </c>
      <c r="E24" s="198" t="s">
        <v>227</v>
      </c>
      <c r="F24" s="194" t="s">
        <v>228</v>
      </c>
      <c r="G24" s="195">
        <v>15</v>
      </c>
      <c r="H24" s="197">
        <v>3183</v>
      </c>
      <c r="I24" s="197">
        <v>3183</v>
      </c>
      <c r="J24" s="196">
        <f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196">
        <f>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</f>
        <v>86.02</v>
      </c>
      <c r="L24" s="197"/>
      <c r="M24" s="202">
        <f>I24+J24-K24-L24</f>
        <v>3096.98</v>
      </c>
      <c r="N24" s="19"/>
      <c r="Q24" s="54"/>
      <c r="R24" s="56"/>
    </row>
    <row r="25" spans="4:18" ht="45" customHeight="1" x14ac:dyDescent="0.3">
      <c r="D25" s="368" t="s">
        <v>367</v>
      </c>
      <c r="E25" s="198" t="s">
        <v>242</v>
      </c>
      <c r="F25" s="194" t="s">
        <v>71</v>
      </c>
      <c r="G25" s="195">
        <v>15</v>
      </c>
      <c r="H25" s="197">
        <v>2983</v>
      </c>
      <c r="I25" s="197">
        <v>2983</v>
      </c>
      <c r="J25" s="196">
        <f>IFERROR(IF(ROUND((((I25/G25*30.4)-VLOOKUP((I25/G25*30.4),TARIFA,1))*VLOOKUP((I25/G25*30.4),TARIFA,3)+VLOOKUP((I25/G25*30.4),TARIFA,2)-VLOOKUP((I25/G25*30.4),SUBSIDIO,2))/30.4*G25,2)&lt;0,ROUND(-(((I25/G25*30.4)-VLOOKUP((I25/G25*30.4),TARIFA,1))*VLOOKUP((I25/G25*30.4),TARIFA,3)+VLOOKUP((I25/G25*30.4),TARIFA,2)-VLOOKUP((I25/G25*30.4),SUBSIDIO,2))/30.4*G25,2),0),0)</f>
        <v>0</v>
      </c>
      <c r="K25" s="196">
        <f>IFERROR(IF(ROUND((((I25/G25*30.4)-VLOOKUP((I25/G25*30.4),TARIFA,1))*VLOOKUP((I25/G25*30.4),TARIFA,3)+VLOOKUP((I25/G25*30.4),TARIFA,2)-VLOOKUP((I25/G25*30.4),SUBSIDIO,2))/30.4*G25,2)&gt;0,ROUND((((I25/G25*30.4)-VLOOKUP((I25/G25*30.4),TARIFA,1))*VLOOKUP((I25/G25*30.4),TARIFA,3)+VLOOKUP((I25/G25*30.4),TARIFA,2)-VLOOKUP((I25/G25*30.4),SUBSIDIO,2))/30.4*G25,2),0),0)</f>
        <v>43.99</v>
      </c>
      <c r="L25" s="197"/>
      <c r="M25" s="202">
        <f>I25+J25-K25-L25</f>
        <v>2939.01</v>
      </c>
      <c r="N25" s="19"/>
      <c r="Q25" s="54"/>
      <c r="R25" s="56"/>
    </row>
    <row r="26" spans="4:18" ht="45" customHeight="1" x14ac:dyDescent="0.3">
      <c r="D26" s="368"/>
      <c r="E26" s="201" t="s">
        <v>99</v>
      </c>
      <c r="F26" s="194"/>
      <c r="G26" s="195"/>
      <c r="H26" s="202"/>
      <c r="I26" s="197"/>
      <c r="J26" s="196"/>
      <c r="K26" s="196"/>
      <c r="L26" s="197"/>
      <c r="M26" s="197"/>
      <c r="N26" s="19"/>
      <c r="Q26" s="54"/>
      <c r="R26" s="56"/>
    </row>
    <row r="27" spans="4:18" ht="45" customHeight="1" x14ac:dyDescent="0.3">
      <c r="D27" s="368" t="s">
        <v>368</v>
      </c>
      <c r="E27" s="193" t="s">
        <v>176</v>
      </c>
      <c r="F27" s="194" t="s">
        <v>215</v>
      </c>
      <c r="G27" s="195">
        <v>15</v>
      </c>
      <c r="H27" s="202">
        <v>3557</v>
      </c>
      <c r="I27" s="197">
        <v>3557</v>
      </c>
      <c r="J27" s="196">
        <f>IFERROR(IF(ROUND((((I27/G27*30.4)-VLOOKUP((I27/G27*30.4),TARIFA,1))*VLOOKUP((I27/G27*30.4),TARIFA,3)+VLOOKUP((I27/G27*30.4),TARIFA,2)-VLOOKUP((I27/G27*30.4),SUBSIDIO,2))/30.4*G27,2)&lt;0,ROUND(-(((I27/G27*30.4)-VLOOKUP((I27/G27*30.4),TARIFA,1))*VLOOKUP((I27/G27*30.4),TARIFA,3)+VLOOKUP((I27/G27*30.4),TARIFA,2)-VLOOKUP((I27/G27*30.4),SUBSIDIO,2))/30.4*G27,2),0),0)</f>
        <v>0</v>
      </c>
      <c r="K27" s="196">
        <f>IFERROR(IF(ROUND((((I27/G27*30.4)-VLOOKUP((I27/G27*30.4),TARIFA,1))*VLOOKUP((I27/G27*30.4),TARIFA,3)+VLOOKUP((I27/G27*30.4),TARIFA,2)-VLOOKUP((I27/G27*30.4),SUBSIDIO,2))/30.4*G27,2)&gt;0,ROUND((((I27/G27*30.4)-VLOOKUP((I27/G27*30.4),TARIFA,1))*VLOOKUP((I27/G27*30.4),TARIFA,3)+VLOOKUP((I27/G27*30.4),TARIFA,2)-VLOOKUP((I27/G27*30.4),SUBSIDIO,2))/30.4*G27,2),0),0)</f>
        <v>144.44</v>
      </c>
      <c r="L27" s="197">
        <v>0</v>
      </c>
      <c r="M27" s="197">
        <f>I27+J27-K27-L27</f>
        <v>3412.56</v>
      </c>
      <c r="N27" s="19"/>
      <c r="Q27" s="54"/>
      <c r="R27" s="56"/>
    </row>
    <row r="28" spans="4:18" ht="45" hidden="1" customHeight="1" x14ac:dyDescent="0.3">
      <c r="D28" s="370"/>
      <c r="E28" s="227"/>
      <c r="F28" s="194"/>
      <c r="G28" s="195"/>
      <c r="H28" s="202"/>
      <c r="I28" s="202"/>
      <c r="J28" s="202"/>
      <c r="K28" s="202"/>
      <c r="L28" s="202"/>
      <c r="M28" s="202"/>
      <c r="N28" s="19"/>
      <c r="Q28" s="54"/>
      <c r="R28" s="56"/>
    </row>
    <row r="29" spans="4:18" ht="45" customHeight="1" x14ac:dyDescent="0.3">
      <c r="D29" s="370"/>
      <c r="E29" s="203" t="s">
        <v>200</v>
      </c>
      <c r="F29" s="194"/>
      <c r="G29" s="195"/>
      <c r="H29" s="202"/>
      <c r="I29" s="197"/>
      <c r="J29" s="196"/>
      <c r="K29" s="196"/>
      <c r="L29" s="197"/>
      <c r="M29" s="197"/>
      <c r="N29" s="19"/>
      <c r="Q29" s="54"/>
      <c r="R29" s="56"/>
    </row>
    <row r="30" spans="4:18" ht="45" customHeight="1" x14ac:dyDescent="0.3">
      <c r="D30" s="370" t="s">
        <v>369</v>
      </c>
      <c r="E30" s="204" t="s">
        <v>202</v>
      </c>
      <c r="F30" s="205" t="s">
        <v>201</v>
      </c>
      <c r="G30" s="195">
        <v>15</v>
      </c>
      <c r="H30" s="202">
        <v>3915</v>
      </c>
      <c r="I30" s="197">
        <v>3915</v>
      </c>
      <c r="J30" s="196">
        <f>IFERROR(IF(ROUND((((I30/G30*30.4)-VLOOKUP((I30/G30*30.4),TARIFA,1))*VLOOKUP((I30/G30*30.4),TARIFA,3)+VLOOKUP((I30/G30*30.4),TARIFA,2)-VLOOKUP((I30/G30*30.4),SUBSIDIO,2))/30.4*G30,2)&lt;0,ROUND(-(((I30/G30*30.4)-VLOOKUP((I30/G30*30.4),TARIFA,1))*VLOOKUP((I30/G30*30.4),TARIFA,3)+VLOOKUP((I30/G30*30.4),TARIFA,2)-VLOOKUP((I30/G30*30.4),SUBSIDIO,2))/30.4*G30,2),0),0)</f>
        <v>0</v>
      </c>
      <c r="K30" s="196">
        <f>IFERROR(IF(ROUND((((I30/G30*30.4)-VLOOKUP((I30/G30*30.4),TARIFA,1))*VLOOKUP((I30/G30*30.4),TARIFA,3)+VLOOKUP((I30/G30*30.4),TARIFA,2)-VLOOKUP((I30/G30*30.4),SUBSIDIO,2))/30.4*G30,2)&gt;0,ROUND((((I30/G30*30.4)-VLOOKUP((I30/G30*30.4),TARIFA,1))*VLOOKUP((I30/G30*30.4),TARIFA,3)+VLOOKUP((I30/G30*30.4),TARIFA,2)-VLOOKUP((I30/G30*30.4),SUBSIDIO,2))/30.4*G30,2),0),0)</f>
        <v>290.77</v>
      </c>
      <c r="L30" s="197">
        <v>0</v>
      </c>
      <c r="M30" s="197">
        <f>I30+J30-K30-L30</f>
        <v>3624.23</v>
      </c>
      <c r="N30" s="19"/>
      <c r="Q30" s="54"/>
      <c r="R30" s="56"/>
    </row>
    <row r="31" spans="4:18" ht="45" customHeight="1" x14ac:dyDescent="0.3">
      <c r="D31" s="370" t="s">
        <v>370</v>
      </c>
      <c r="E31" s="204" t="s">
        <v>203</v>
      </c>
      <c r="F31" s="194" t="s">
        <v>16</v>
      </c>
      <c r="G31" s="195">
        <v>15</v>
      </c>
      <c r="H31" s="202">
        <v>2233</v>
      </c>
      <c r="I31" s="197">
        <v>2233</v>
      </c>
      <c r="J31" s="196">
        <f>IFERROR(IF(ROUND((((I31/G31*30.4)-VLOOKUP((I31/G31*30.4),TARIFA,1))*VLOOKUP((I31/G31*30.4),TARIFA,3)+VLOOKUP((I31/G31*30.4),TARIFA,2)-VLOOKUP((I31/G31*30.4),SUBSIDIO,2))/30.4*G31,2)&lt;0,ROUND(-(((I31/G31*30.4)-VLOOKUP((I31/G31*30.4),TARIFA,1))*VLOOKUP((I31/G31*30.4),TARIFA,3)+VLOOKUP((I31/G31*30.4),TARIFA,2)-VLOOKUP((I31/G31*30.4),SUBSIDIO,2))/30.4*G31,2),0),0)</f>
        <v>46.12</v>
      </c>
      <c r="K31" s="196">
        <f>IFERROR(IF(ROUND((((I31/G31*30.4)-VLOOKUP((I31/G31*30.4),TARIFA,1))*VLOOKUP((I31/G31*30.4),TARIFA,3)+VLOOKUP((I31/G31*30.4),TARIFA,2)-VLOOKUP((I31/G31*30.4),SUBSIDIO,2))/30.4*G31,2)&gt;0,ROUND((((I31/G31*30.4)-VLOOKUP((I31/G31*30.4),TARIFA,1))*VLOOKUP((I31/G31*30.4),TARIFA,3)+VLOOKUP((I31/G31*30.4),TARIFA,2)-VLOOKUP((I31/G31*30.4),SUBSIDIO,2))/30.4*G31,2),0),0)</f>
        <v>0</v>
      </c>
      <c r="L31" s="197"/>
      <c r="M31" s="202">
        <f>I31+J31-K31-L31</f>
        <v>2279.12</v>
      </c>
      <c r="N31" s="19"/>
      <c r="Q31" s="54"/>
      <c r="R31" s="56"/>
    </row>
    <row r="32" spans="4:18" ht="45" customHeight="1" x14ac:dyDescent="0.3">
      <c r="D32" s="370" t="s">
        <v>371</v>
      </c>
      <c r="E32" s="204" t="s">
        <v>96</v>
      </c>
      <c r="F32" s="194" t="s">
        <v>16</v>
      </c>
      <c r="G32" s="195">
        <v>15</v>
      </c>
      <c r="H32" s="202">
        <v>3369</v>
      </c>
      <c r="I32" s="197">
        <v>3369</v>
      </c>
      <c r="J32" s="196">
        <f>IFERROR(IF(ROUND((((I32/G32*30.4)-VLOOKUP((I32/G32*30.4),TARIFA,1))*VLOOKUP((I32/G32*30.4),TARIFA,3)+VLOOKUP((I32/G32*30.4),TARIFA,2)-VLOOKUP((I32/G32*30.4),SUBSIDIO,2))/30.4*G32,2)&lt;0,ROUND(-(((I32/G32*30.4)-VLOOKUP((I32/G32*30.4),TARIFA,1))*VLOOKUP((I32/G32*30.4),TARIFA,3)+VLOOKUP((I32/G32*30.4),TARIFA,2)-VLOOKUP((I32/G32*30.4),SUBSIDIO,2))/30.4*G32,2),0),0)</f>
        <v>0</v>
      </c>
      <c r="K32" s="196">
        <f>IFERROR(IF(ROUND((((I32/G32*30.4)-VLOOKUP((I32/G32*30.4),TARIFA,1))*VLOOKUP((I32/G32*30.4),TARIFA,3)+VLOOKUP((I32/G32*30.4),TARIFA,2)-VLOOKUP((I32/G32*30.4),SUBSIDIO,2))/30.4*G32,2)&gt;0,ROUND((((I32/G32*30.4)-VLOOKUP((I32/G32*30.4),TARIFA,1))*VLOOKUP((I32/G32*30.4),TARIFA,3)+VLOOKUP((I32/G32*30.4),TARIFA,2)-VLOOKUP((I32/G32*30.4),SUBSIDIO,2))/30.4*G32,2),0),0)</f>
        <v>106.26</v>
      </c>
      <c r="L32" s="197"/>
      <c r="M32" s="202">
        <f>I32+J32-K32-L32</f>
        <v>3262.74</v>
      </c>
      <c r="N32" s="19"/>
      <c r="Q32" s="54"/>
      <c r="R32" s="56"/>
    </row>
    <row r="33" spans="2:18" ht="45" customHeight="1" x14ac:dyDescent="0.3">
      <c r="D33" s="370"/>
      <c r="E33" s="203" t="s">
        <v>211</v>
      </c>
      <c r="F33" s="194"/>
      <c r="G33" s="195"/>
      <c r="H33" s="202"/>
      <c r="I33" s="197"/>
      <c r="J33" s="196"/>
      <c r="K33" s="196"/>
      <c r="L33" s="197"/>
      <c r="M33" s="197"/>
      <c r="N33" s="19"/>
      <c r="Q33" s="54"/>
      <c r="R33" s="56"/>
    </row>
    <row r="34" spans="2:18" ht="45" customHeight="1" x14ac:dyDescent="0.3">
      <c r="D34" s="370"/>
      <c r="E34" s="204"/>
      <c r="F34" s="194" t="s">
        <v>213</v>
      </c>
      <c r="G34" s="195">
        <v>0</v>
      </c>
      <c r="H34" s="202">
        <v>6884</v>
      </c>
      <c r="I34" s="197">
        <v>0</v>
      </c>
      <c r="J34" s="196">
        <f>IFERROR(IF(ROUND((((I34/G34*30.4)-VLOOKUP((I34/G34*30.4),TARIFA,1))*VLOOKUP((I34/G34*30.4),TARIFA,3)+VLOOKUP((I34/G34*30.4),TARIFA,2)-VLOOKUP((I34/G34*30.4),SUBSIDIO,2))/30.4*G34,2)&lt;0,ROUND(-(((I34/G34*30.4)-VLOOKUP((I34/G34*30.4),TARIFA,1))*VLOOKUP((I34/G34*30.4),TARIFA,3)+VLOOKUP((I34/G34*30.4),TARIFA,2)-VLOOKUP((I34/G34*30.4),SUBSIDIO,2))/30.4*G34,2),0),0)</f>
        <v>0</v>
      </c>
      <c r="K34" s="196">
        <f>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</f>
        <v>0</v>
      </c>
      <c r="L34" s="197"/>
      <c r="M34" s="202">
        <f>I34+J34-K34-L34</f>
        <v>0</v>
      </c>
      <c r="N34" s="19"/>
      <c r="O34" s="1">
        <v>749.84</v>
      </c>
      <c r="Q34" s="54"/>
      <c r="R34" s="56"/>
    </row>
    <row r="35" spans="2:18" ht="45" customHeight="1" x14ac:dyDescent="0.3">
      <c r="D35" s="370" t="s">
        <v>373</v>
      </c>
      <c r="E35" s="204" t="s">
        <v>212</v>
      </c>
      <c r="F35" s="194" t="s">
        <v>214</v>
      </c>
      <c r="G35" s="195">
        <v>15</v>
      </c>
      <c r="H35" s="202">
        <v>4235</v>
      </c>
      <c r="I35" s="197">
        <v>4235</v>
      </c>
      <c r="J35" s="196">
        <f>IFERROR(IF(ROUND((((I35/G35*30.4)-VLOOKUP((I35/G35*30.4),TARIFA,1))*VLOOKUP((I35/G35*30.4),TARIFA,3)+VLOOKUP((I35/G35*30.4),TARIFA,2)-VLOOKUP((I35/G35*30.4),SUBSIDIO,2))/30.4*G35,2)&lt;0,ROUND(-(((I35/G35*30.4)-VLOOKUP((I35/G35*30.4),TARIFA,1))*VLOOKUP((I35/G35*30.4),TARIFA,3)+VLOOKUP((I35/G35*30.4),TARIFA,2)-VLOOKUP((I35/G35*30.4),SUBSIDIO,2))/30.4*G35,2),0),0)</f>
        <v>0</v>
      </c>
      <c r="K35" s="196">
        <f>IFERROR(IF(ROUND((((I35/G35*30.4)-VLOOKUP((I35/G35*30.4),TARIFA,1))*VLOOKUP((I35/G35*30.4),TARIFA,3)+VLOOKUP((I35/G35*30.4),TARIFA,2)-VLOOKUP((I35/G35*30.4),SUBSIDIO,2))/30.4*G35,2)&gt;0,ROUND((((I35/G35*30.4)-VLOOKUP((I35/G35*30.4),TARIFA,1))*VLOOKUP((I35/G35*30.4),TARIFA,3)+VLOOKUP((I35/G35*30.4),TARIFA,2)-VLOOKUP((I35/G35*30.4),SUBSIDIO,2))/30.4*G35,2),0),0)</f>
        <v>325.58</v>
      </c>
      <c r="L35" s="197"/>
      <c r="M35" s="202">
        <f>I35+J35-K35-L35</f>
        <v>3909.42</v>
      </c>
      <c r="N35" s="19"/>
      <c r="Q35" s="54"/>
      <c r="R35" s="56"/>
    </row>
    <row r="36" spans="2:18" ht="45" customHeight="1" x14ac:dyDescent="0.3">
      <c r="D36" s="339"/>
      <c r="E36" s="206" t="s">
        <v>39</v>
      </c>
      <c r="F36" s="205"/>
      <c r="G36" s="207"/>
      <c r="H36" s="208"/>
      <c r="I36" s="208"/>
      <c r="J36" s="388"/>
      <c r="K36" s="388"/>
      <c r="L36" s="208"/>
      <c r="M36" s="208"/>
      <c r="N36" s="19"/>
      <c r="Q36" s="54"/>
      <c r="R36" s="56"/>
    </row>
    <row r="37" spans="2:18" ht="45" customHeight="1" x14ac:dyDescent="0.3">
      <c r="D37" s="339" t="s">
        <v>374</v>
      </c>
      <c r="E37" s="198" t="s">
        <v>278</v>
      </c>
      <c r="F37" s="194" t="s">
        <v>40</v>
      </c>
      <c r="G37" s="195">
        <v>15</v>
      </c>
      <c r="H37" s="197">
        <v>2415</v>
      </c>
      <c r="I37" s="197">
        <v>2415</v>
      </c>
      <c r="J37" s="196">
        <f>IFERROR(IF(ROUND((((I37/G37*30.4)-VLOOKUP((I37/G37*30.4),TARIFA,1))*VLOOKUP((I37/G37*30.4),TARIFA,3)+VLOOKUP((I37/G37*30.4),TARIFA,2)-VLOOKUP((I37/G37*30.4),SUBSIDIO,2))/30.4*G37,2)&lt;0,ROUND(-(((I37/G37*30.4)-VLOOKUP((I37/G37*30.4),TARIFA,1))*VLOOKUP((I37/G37*30.4),TARIFA,3)+VLOOKUP((I37/G37*30.4),TARIFA,2)-VLOOKUP((I37/G37*30.4),SUBSIDIO,2))/30.4*G37,2),0),0)</f>
        <v>19.98</v>
      </c>
      <c r="K37" s="196">
        <f>IFERROR(IF(ROUND((((I37/G37*30.4)-VLOOKUP((I37/G37*30.4),TARIFA,1))*VLOOKUP((I37/G37*30.4),TARIFA,3)+VLOOKUP((I37/G37*30.4),TARIFA,2)-VLOOKUP((I37/G37*30.4),SUBSIDIO,2))/30.4*G37,2)&gt;0,ROUND((((I37/G37*30.4)-VLOOKUP((I37/G37*30.4),TARIFA,1))*VLOOKUP((I37/G37*30.4),TARIFA,3)+VLOOKUP((I37/G37*30.4),TARIFA,2)-VLOOKUP((I37/G37*30.4),SUBSIDIO,2))/30.4*G37,2),0),0)</f>
        <v>0</v>
      </c>
      <c r="L37" s="197">
        <v>0</v>
      </c>
      <c r="M37" s="202">
        <f>I37+J37-K37-L37</f>
        <v>2434.98</v>
      </c>
      <c r="N37" s="19"/>
      <c r="Q37" s="54"/>
      <c r="R37" s="56"/>
    </row>
    <row r="38" spans="2:18" ht="45" customHeight="1" x14ac:dyDescent="0.3">
      <c r="D38" s="371" t="s">
        <v>375</v>
      </c>
      <c r="E38" s="246" t="s">
        <v>266</v>
      </c>
      <c r="F38" s="194" t="s">
        <v>36</v>
      </c>
      <c r="G38" s="195">
        <v>15</v>
      </c>
      <c r="H38" s="202">
        <v>1932</v>
      </c>
      <c r="I38" s="197">
        <v>1932</v>
      </c>
      <c r="J38" s="196">
        <f>IFERROR(IF(ROUND((((I38/G38*30.4)-VLOOKUP((I38/G38*30.4),TARIFA,1))*VLOOKUP((I38/G38*30.4),TARIFA,3)+VLOOKUP((I38/G38*30.4),TARIFA,2)-VLOOKUP((I38/G38*30.4),SUBSIDIO,2))/30.4*G38,2)&lt;0,ROUND(-(((I38/G38*30.4)-VLOOKUP((I38/G38*30.4),TARIFA,1))*VLOOKUP((I38/G38*30.4),TARIFA,3)+VLOOKUP((I38/G38*30.4),TARIFA,2)-VLOOKUP((I38/G38*30.4),SUBSIDIO,2))/30.4*G38,2),0),0)</f>
        <v>79.31</v>
      </c>
      <c r="K38" s="196">
        <f>IFERROR(IF(ROUND((((I38/G38*30.4)-VLOOKUP((I38/G38*30.4),TARIFA,1))*VLOOKUP((I38/G38*30.4),TARIFA,3)+VLOOKUP((I38/G38*30.4),TARIFA,2)-VLOOKUP((I38/G38*30.4),SUBSIDIO,2))/30.4*G38,2)&gt;0,ROUND((((I38/G38*30.4)-VLOOKUP((I38/G38*30.4),TARIFA,1))*VLOOKUP((I38/G38*30.4),TARIFA,3)+VLOOKUP((I38/G38*30.4),TARIFA,2)-VLOOKUP((I38/G38*30.4),SUBSIDIO,2))/30.4*G38,2),0),0)</f>
        <v>0</v>
      </c>
      <c r="L38" s="197">
        <v>0</v>
      </c>
      <c r="M38" s="202">
        <f>I38+J38-K38-L38</f>
        <v>2011.31</v>
      </c>
      <c r="N38" s="19"/>
      <c r="Q38" s="54"/>
      <c r="R38" s="56"/>
    </row>
    <row r="39" spans="2:18" ht="45" customHeight="1" x14ac:dyDescent="0.3">
      <c r="D39" s="371"/>
      <c r="E39" s="209" t="s">
        <v>175</v>
      </c>
      <c r="F39" s="194"/>
      <c r="G39" s="195"/>
      <c r="H39" s="197"/>
      <c r="I39" s="197"/>
      <c r="J39" s="196"/>
      <c r="K39" s="196"/>
      <c r="L39" s="197"/>
      <c r="M39" s="197"/>
      <c r="N39" s="19"/>
      <c r="Q39" s="54"/>
      <c r="R39" s="56"/>
    </row>
    <row r="40" spans="2:18" ht="45" hidden="1" customHeight="1" x14ac:dyDescent="0.3">
      <c r="D40" s="371"/>
      <c r="E40" s="193"/>
      <c r="F40" s="239"/>
      <c r="G40" s="195"/>
      <c r="H40" s="197"/>
      <c r="I40" s="197"/>
      <c r="J40" s="196"/>
      <c r="K40" s="196"/>
      <c r="L40" s="197"/>
      <c r="M40" s="197"/>
      <c r="N40" s="19"/>
      <c r="Q40" s="54"/>
      <c r="R40" s="56"/>
    </row>
    <row r="41" spans="2:18" ht="45" customHeight="1" x14ac:dyDescent="0.3">
      <c r="D41" s="371" t="s">
        <v>376</v>
      </c>
      <c r="E41" s="227" t="s">
        <v>267</v>
      </c>
      <c r="F41" s="194" t="s">
        <v>43</v>
      </c>
      <c r="G41" s="195">
        <v>15</v>
      </c>
      <c r="H41" s="202">
        <v>3257</v>
      </c>
      <c r="I41" s="197">
        <v>3257</v>
      </c>
      <c r="J41" s="196">
        <f>IFERROR(IF(ROUND((((I41/G41*30.4)-VLOOKUP((I41/G41*30.4),TARIFA,1))*VLOOKUP((I41/G41*30.4),TARIFA,3)+VLOOKUP((I41/G41*30.4),TARIFA,2)-VLOOKUP((I41/G41*30.4),SUBSIDIO,2))/30.4*G41,2)&lt;0,ROUND(-(((I41/G41*30.4)-VLOOKUP((I41/G41*30.4),TARIFA,1))*VLOOKUP((I41/G41*30.4),TARIFA,3)+VLOOKUP((I41/G41*30.4),TARIFA,2)-VLOOKUP((I41/G41*30.4),SUBSIDIO,2))/30.4*G41,2),0),0)</f>
        <v>0</v>
      </c>
      <c r="K41" s="196">
        <f>IFERROR(IF(ROUND((((I41/G41*30.4)-VLOOKUP((I41/G41*30.4),TARIFA,1))*VLOOKUP((I41/G41*30.4),TARIFA,3)+VLOOKUP((I41/G41*30.4),TARIFA,2)-VLOOKUP((I41/G41*30.4),SUBSIDIO,2))/30.4*G41,2)&gt;0,ROUND((((I41/G41*30.4)-VLOOKUP((I41/G41*30.4),TARIFA,1))*VLOOKUP((I41/G41*30.4),TARIFA,3)+VLOOKUP((I41/G41*30.4),TARIFA,2)-VLOOKUP((I41/G41*30.4),SUBSIDIO,2))/30.4*G41,2),0),0)</f>
        <v>94.07</v>
      </c>
      <c r="L41" s="197">
        <v>0</v>
      </c>
      <c r="M41" s="202">
        <f>I41+J41-K41-L41</f>
        <v>3162.93</v>
      </c>
      <c r="N41" s="19"/>
      <c r="Q41" s="54"/>
      <c r="R41" s="56"/>
    </row>
    <row r="42" spans="2:18" ht="38.1" customHeight="1" x14ac:dyDescent="0.3">
      <c r="D42" s="370"/>
      <c r="E42" s="164"/>
      <c r="F42" s="162"/>
      <c r="G42" s="163"/>
      <c r="H42" s="156"/>
      <c r="I42" s="141"/>
      <c r="J42" s="355"/>
      <c r="K42" s="355"/>
      <c r="L42" s="141"/>
      <c r="M42" s="202"/>
      <c r="N42" s="19"/>
      <c r="Q42" s="54"/>
      <c r="R42" s="56"/>
    </row>
    <row r="43" spans="2:18" ht="38.1" customHeight="1" x14ac:dyDescent="0.2">
      <c r="D43" s="372"/>
      <c r="E43" s="64"/>
      <c r="F43" s="72"/>
      <c r="G43" s="73"/>
      <c r="H43" s="74">
        <f>SUM(H12:H41)</f>
        <v>55367</v>
      </c>
      <c r="I43" s="74">
        <f>SUM(I12:I41)</f>
        <v>48483</v>
      </c>
      <c r="J43" s="74">
        <f>SUM(J12:J42)</f>
        <v>283.08</v>
      </c>
      <c r="K43" s="74">
        <f>SUM(K12:K42)</f>
        <v>2073.0100000000002</v>
      </c>
      <c r="L43" s="74" t="e">
        <f>L41+L40+L38+L37+L35+L34+L32+L31+L30+L27+L25+L24+L23+L20+L19+#REF!+L16+L14+L13+L12</f>
        <v>#REF!</v>
      </c>
      <c r="M43" s="74">
        <f>SUM(M12:M42)</f>
        <v>46693.07</v>
      </c>
      <c r="N43" s="75"/>
      <c r="Q43" s="54"/>
      <c r="R43" s="56"/>
    </row>
    <row r="44" spans="2:18" ht="32.1" customHeight="1" x14ac:dyDescent="0.3">
      <c r="B44" s="65"/>
      <c r="C44" s="65"/>
      <c r="D44" s="487" t="s">
        <v>12</v>
      </c>
      <c r="E44" s="487"/>
      <c r="F44" s="487"/>
      <c r="G44" s="487"/>
      <c r="H44" s="487"/>
      <c r="I44" s="487"/>
      <c r="J44" s="487"/>
      <c r="K44" s="487"/>
      <c r="L44" s="487"/>
      <c r="M44" s="487"/>
      <c r="N44" s="487"/>
      <c r="Q44" s="54"/>
      <c r="R44" s="56"/>
    </row>
    <row r="45" spans="2:18" ht="32.1" customHeight="1" x14ac:dyDescent="0.3">
      <c r="B45" s="65"/>
      <c r="C45" s="65"/>
      <c r="D45" s="487" t="s">
        <v>167</v>
      </c>
      <c r="E45" s="487"/>
      <c r="F45" s="487"/>
      <c r="G45" s="487"/>
      <c r="H45" s="487"/>
      <c r="I45" s="487"/>
      <c r="J45" s="487"/>
      <c r="K45" s="487"/>
      <c r="L45" s="487"/>
      <c r="M45" s="487"/>
      <c r="N45" s="487"/>
      <c r="Q45" s="54"/>
      <c r="R45" s="56"/>
    </row>
    <row r="46" spans="2:18" ht="32.1" customHeight="1" x14ac:dyDescent="0.3">
      <c r="B46" s="65"/>
      <c r="C46" s="65"/>
      <c r="D46" s="488" t="str">
        <f>D5</f>
        <v>NOMINA 1RA QUINCENA DE MAYO DE 2021</v>
      </c>
      <c r="E46" s="488"/>
      <c r="F46" s="488"/>
      <c r="G46" s="488"/>
      <c r="H46" s="488"/>
      <c r="I46" s="488"/>
      <c r="J46" s="488"/>
      <c r="K46" s="488"/>
      <c r="L46" s="488"/>
      <c r="M46" s="488"/>
      <c r="N46" s="488"/>
      <c r="Q46" s="54"/>
      <c r="R46" s="56"/>
    </row>
    <row r="47" spans="2:18" ht="32.1" customHeight="1" x14ac:dyDescent="0.3">
      <c r="B47" s="65"/>
      <c r="C47" s="65"/>
      <c r="D47" s="488" t="s">
        <v>154</v>
      </c>
      <c r="E47" s="488"/>
      <c r="F47" s="488"/>
      <c r="G47" s="488"/>
      <c r="H47" s="488"/>
      <c r="I47" s="488"/>
      <c r="J47" s="488"/>
      <c r="K47" s="488"/>
      <c r="L47" s="488"/>
      <c r="M47" s="488"/>
      <c r="N47" s="488"/>
      <c r="Q47" s="54"/>
      <c r="R47" s="56"/>
    </row>
    <row r="48" spans="2:18" ht="32.1" customHeight="1" x14ac:dyDescent="0.2">
      <c r="B48" s="65"/>
      <c r="C48" s="65"/>
      <c r="D48" s="500" t="s">
        <v>360</v>
      </c>
      <c r="E48" s="104"/>
      <c r="F48" s="104"/>
      <c r="G48" s="105" t="s">
        <v>4</v>
      </c>
      <c r="H48" s="494" t="s">
        <v>0</v>
      </c>
      <c r="I48" s="495"/>
      <c r="J48" s="496"/>
      <c r="K48" s="383"/>
      <c r="L48" s="106"/>
      <c r="M48" s="105"/>
      <c r="N48" s="107"/>
      <c r="Q48" s="54"/>
      <c r="R48" s="56"/>
    </row>
    <row r="49" spans="2:18" ht="32.1" customHeight="1" x14ac:dyDescent="0.2">
      <c r="B49" s="65"/>
      <c r="C49" s="65"/>
      <c r="D49" s="501"/>
      <c r="E49" s="107"/>
      <c r="F49" s="105"/>
      <c r="G49" s="108" t="s">
        <v>5</v>
      </c>
      <c r="H49" s="109" t="s">
        <v>1</v>
      </c>
      <c r="I49" s="109" t="s">
        <v>153</v>
      </c>
      <c r="J49" s="384" t="s">
        <v>157</v>
      </c>
      <c r="K49" s="384"/>
      <c r="L49" s="105" t="s">
        <v>172</v>
      </c>
      <c r="M49" s="105" t="s">
        <v>156</v>
      </c>
      <c r="N49" s="110"/>
      <c r="Q49" s="54"/>
      <c r="R49" s="56"/>
    </row>
    <row r="50" spans="2:18" ht="32.1" customHeight="1" x14ac:dyDescent="0.25">
      <c r="B50" s="65"/>
      <c r="C50" s="65"/>
      <c r="D50" s="501"/>
      <c r="E50" s="111"/>
      <c r="F50" s="112" t="s">
        <v>10</v>
      </c>
      <c r="G50" s="105"/>
      <c r="H50" s="105" t="s">
        <v>7</v>
      </c>
      <c r="I50" s="105" t="s">
        <v>156</v>
      </c>
      <c r="J50" s="108" t="s">
        <v>158</v>
      </c>
      <c r="K50" s="108" t="s">
        <v>159</v>
      </c>
      <c r="L50" s="105" t="s">
        <v>174</v>
      </c>
      <c r="M50" s="105" t="s">
        <v>162</v>
      </c>
      <c r="N50" s="109" t="s">
        <v>165</v>
      </c>
      <c r="Q50" s="54"/>
      <c r="R50" s="56"/>
    </row>
    <row r="51" spans="2:18" ht="32.1" customHeight="1" x14ac:dyDescent="0.25">
      <c r="B51" s="65"/>
      <c r="C51" s="65"/>
      <c r="D51" s="502"/>
      <c r="E51" s="111" t="s">
        <v>76</v>
      </c>
      <c r="F51" s="111" t="s">
        <v>9</v>
      </c>
      <c r="G51" s="109"/>
      <c r="H51" s="109"/>
      <c r="I51" s="109"/>
      <c r="J51" s="384"/>
      <c r="K51" s="385"/>
      <c r="L51" s="113"/>
      <c r="M51" s="109"/>
      <c r="N51" s="109"/>
      <c r="Q51" s="54"/>
      <c r="R51" s="56"/>
    </row>
    <row r="52" spans="2:18" ht="32.1" customHeight="1" x14ac:dyDescent="0.3">
      <c r="D52" s="373"/>
      <c r="E52" s="211" t="s">
        <v>220</v>
      </c>
      <c r="F52" s="212"/>
      <c r="G52" s="213"/>
      <c r="H52" s="214"/>
      <c r="I52" s="215"/>
      <c r="J52" s="389"/>
      <c r="K52" s="389"/>
      <c r="L52" s="215"/>
      <c r="M52" s="208"/>
      <c r="N52" s="63"/>
      <c r="Q52" s="54"/>
      <c r="R52" s="56"/>
    </row>
    <row r="53" spans="2:18" ht="32.1" hidden="1" customHeight="1" x14ac:dyDescent="0.3">
      <c r="D53" s="371"/>
      <c r="E53" s="210"/>
      <c r="F53" s="194"/>
      <c r="G53" s="195"/>
      <c r="H53" s="197"/>
      <c r="I53" s="197"/>
      <c r="J53" s="196"/>
      <c r="K53" s="196"/>
      <c r="L53" s="197"/>
      <c r="M53" s="202"/>
      <c r="N53" s="19"/>
      <c r="Q53" s="54"/>
      <c r="R53" s="56"/>
    </row>
    <row r="54" spans="2:18" ht="45" customHeight="1" x14ac:dyDescent="0.3">
      <c r="D54" s="371" t="s">
        <v>377</v>
      </c>
      <c r="E54" s="210" t="s">
        <v>240</v>
      </c>
      <c r="F54" s="194" t="s">
        <v>32</v>
      </c>
      <c r="G54" s="195">
        <v>15</v>
      </c>
      <c r="H54" s="197">
        <v>2309</v>
      </c>
      <c r="I54" s="197">
        <v>2309</v>
      </c>
      <c r="J54" s="196">
        <f t="shared" ref="J54:J74" si="0">IFERROR(IF(ROUND((((I54/G54*30.4)-VLOOKUP((I54/G54*30.4),TARIFA,1))*VLOOKUP((I54/G54*30.4),TARIFA,3)+VLOOKUP((I54/G54*30.4),TARIFA,2)-VLOOKUP((I54/G54*30.4),SUBSIDIO,2))/30.4*G54,2)&lt;0,ROUND(-(((I54/G54*30.4)-VLOOKUP((I54/G54*30.4),TARIFA,1))*VLOOKUP((I54/G54*30.4),TARIFA,3)+VLOOKUP((I54/G54*30.4),TARIFA,2)-VLOOKUP((I54/G54*30.4),SUBSIDIO,2))/30.4*G54,2),0),0)</f>
        <v>41.26</v>
      </c>
      <c r="K54" s="196">
        <f t="shared" ref="K54:K74" si="1">IFERROR(IF(ROUND((((I54/G54*30.4)-VLOOKUP((I54/G54*30.4),TARIFA,1))*VLOOKUP((I54/G54*30.4),TARIFA,3)+VLOOKUP((I54/G54*30.4),TARIFA,2)-VLOOKUP((I54/G54*30.4),SUBSIDIO,2))/30.4*G54,2)&gt;0,ROUND((((I54/G54*30.4)-VLOOKUP((I54/G54*30.4),TARIFA,1))*VLOOKUP((I54/G54*30.4),TARIFA,3)+VLOOKUP((I54/G54*30.4),TARIFA,2)-VLOOKUP((I54/G54*30.4),SUBSIDIO,2))/30.4*G54,2),0),0)</f>
        <v>0</v>
      </c>
      <c r="L54" s="197"/>
      <c r="M54" s="202">
        <f t="shared" ref="M54:M74" si="2">I54+J54-K54-L54</f>
        <v>2350.2600000000002</v>
      </c>
      <c r="N54" s="19"/>
      <c r="Q54" s="54"/>
      <c r="R54" s="56"/>
    </row>
    <row r="55" spans="2:18" ht="45" customHeight="1" x14ac:dyDescent="0.3">
      <c r="D55" s="371" t="s">
        <v>378</v>
      </c>
      <c r="E55" s="210" t="s">
        <v>241</v>
      </c>
      <c r="F55" s="194" t="s">
        <v>32</v>
      </c>
      <c r="G55" s="195">
        <v>15</v>
      </c>
      <c r="H55" s="197">
        <v>2309</v>
      </c>
      <c r="I55" s="197">
        <v>2309</v>
      </c>
      <c r="J55" s="196">
        <f t="shared" si="0"/>
        <v>41.26</v>
      </c>
      <c r="K55" s="196">
        <f t="shared" si="1"/>
        <v>0</v>
      </c>
      <c r="L55" s="197"/>
      <c r="M55" s="202">
        <f t="shared" si="2"/>
        <v>2350.2600000000002</v>
      </c>
      <c r="N55" s="19"/>
      <c r="Q55" s="54"/>
      <c r="R55" s="56"/>
    </row>
    <row r="56" spans="2:18" ht="45" customHeight="1" x14ac:dyDescent="0.3">
      <c r="D56" s="371" t="s">
        <v>379</v>
      </c>
      <c r="E56" s="210" t="s">
        <v>239</v>
      </c>
      <c r="F56" s="194" t="s">
        <v>40</v>
      </c>
      <c r="G56" s="195">
        <v>15</v>
      </c>
      <c r="H56" s="197">
        <v>2494</v>
      </c>
      <c r="I56" s="197">
        <v>2494</v>
      </c>
      <c r="J56" s="196">
        <f t="shared" si="0"/>
        <v>14.93</v>
      </c>
      <c r="K56" s="196">
        <f t="shared" si="1"/>
        <v>0</v>
      </c>
      <c r="L56" s="197"/>
      <c r="M56" s="202">
        <f t="shared" si="2"/>
        <v>2508.9299999999998</v>
      </c>
      <c r="N56" s="19"/>
      <c r="Q56" s="54"/>
      <c r="R56" s="56"/>
    </row>
    <row r="57" spans="2:18" ht="45" customHeight="1" x14ac:dyDescent="0.3">
      <c r="D57" s="371" t="s">
        <v>380</v>
      </c>
      <c r="E57" s="210" t="s">
        <v>221</v>
      </c>
      <c r="F57" s="194" t="s">
        <v>38</v>
      </c>
      <c r="G57" s="195">
        <v>15</v>
      </c>
      <c r="H57" s="202">
        <v>2896</v>
      </c>
      <c r="I57" s="197">
        <v>2896</v>
      </c>
      <c r="J57" s="196">
        <f t="shared" si="0"/>
        <v>0</v>
      </c>
      <c r="K57" s="196">
        <f t="shared" si="1"/>
        <v>34.520000000000003</v>
      </c>
      <c r="L57" s="197"/>
      <c r="M57" s="202">
        <f t="shared" si="2"/>
        <v>2861.48</v>
      </c>
      <c r="N57" s="19"/>
      <c r="Q57" s="54"/>
      <c r="R57" s="56"/>
    </row>
    <row r="58" spans="2:18" ht="45" hidden="1" customHeight="1" x14ac:dyDescent="0.3">
      <c r="D58" s="371"/>
      <c r="E58" s="216"/>
      <c r="F58" s="217"/>
      <c r="G58" s="218"/>
      <c r="H58" s="197"/>
      <c r="I58" s="197"/>
      <c r="J58" s="196">
        <f t="shared" si="0"/>
        <v>0</v>
      </c>
      <c r="K58" s="196">
        <f t="shared" si="1"/>
        <v>0</v>
      </c>
      <c r="L58" s="197">
        <v>0</v>
      </c>
      <c r="M58" s="202">
        <f t="shared" si="2"/>
        <v>0</v>
      </c>
      <c r="N58" s="19"/>
      <c r="Q58" s="54"/>
      <c r="R58" s="56"/>
    </row>
    <row r="59" spans="2:18" ht="45" customHeight="1" x14ac:dyDescent="0.3">
      <c r="D59" s="371" t="s">
        <v>381</v>
      </c>
      <c r="E59" s="219" t="s">
        <v>58</v>
      </c>
      <c r="F59" s="220" t="s">
        <v>32</v>
      </c>
      <c r="G59" s="218">
        <v>15</v>
      </c>
      <c r="H59" s="202">
        <v>2289</v>
      </c>
      <c r="I59" s="197">
        <v>2289</v>
      </c>
      <c r="J59" s="196">
        <f t="shared" si="0"/>
        <v>42.54</v>
      </c>
      <c r="K59" s="196">
        <f t="shared" si="1"/>
        <v>0</v>
      </c>
      <c r="L59" s="197">
        <v>0</v>
      </c>
      <c r="M59" s="202">
        <f t="shared" si="2"/>
        <v>2331.54</v>
      </c>
      <c r="N59" s="19"/>
      <c r="Q59" s="54"/>
      <c r="R59" s="56"/>
    </row>
    <row r="60" spans="2:18" ht="45" customHeight="1" x14ac:dyDescent="0.3">
      <c r="D60" s="371" t="s">
        <v>382</v>
      </c>
      <c r="E60" s="219" t="s">
        <v>103</v>
      </c>
      <c r="F60" s="220" t="s">
        <v>32</v>
      </c>
      <c r="G60" s="218">
        <v>15</v>
      </c>
      <c r="H60" s="202">
        <v>2896</v>
      </c>
      <c r="I60" s="197">
        <v>2896</v>
      </c>
      <c r="J60" s="196">
        <f t="shared" si="0"/>
        <v>0</v>
      </c>
      <c r="K60" s="196">
        <f t="shared" si="1"/>
        <v>34.520000000000003</v>
      </c>
      <c r="L60" s="197"/>
      <c r="M60" s="202">
        <f t="shared" si="2"/>
        <v>2861.48</v>
      </c>
      <c r="N60" s="19"/>
      <c r="Q60" s="54"/>
      <c r="R60" s="56"/>
    </row>
    <row r="61" spans="2:18" ht="45" customHeight="1" x14ac:dyDescent="0.3">
      <c r="D61" s="371" t="s">
        <v>383</v>
      </c>
      <c r="E61" s="216" t="s">
        <v>107</v>
      </c>
      <c r="F61" s="217" t="s">
        <v>106</v>
      </c>
      <c r="G61" s="218">
        <v>15</v>
      </c>
      <c r="H61" s="202">
        <v>3355</v>
      </c>
      <c r="I61" s="197">
        <f>H61</f>
        <v>3355</v>
      </c>
      <c r="J61" s="196">
        <f t="shared" si="0"/>
        <v>0</v>
      </c>
      <c r="K61" s="196">
        <f t="shared" si="1"/>
        <v>104.74</v>
      </c>
      <c r="L61" s="197">
        <v>0</v>
      </c>
      <c r="M61" s="202">
        <f t="shared" si="2"/>
        <v>3250.26</v>
      </c>
      <c r="N61" s="19"/>
      <c r="Q61" s="54"/>
      <c r="R61" s="56"/>
    </row>
    <row r="62" spans="2:18" ht="45" customHeight="1" x14ac:dyDescent="0.3">
      <c r="D62" s="371" t="s">
        <v>384</v>
      </c>
      <c r="E62" s="216" t="s">
        <v>131</v>
      </c>
      <c r="F62" s="221" t="s">
        <v>130</v>
      </c>
      <c r="G62" s="218">
        <v>15</v>
      </c>
      <c r="H62" s="202">
        <v>2415</v>
      </c>
      <c r="I62" s="197">
        <v>2415</v>
      </c>
      <c r="J62" s="196">
        <f t="shared" si="0"/>
        <v>19.98</v>
      </c>
      <c r="K62" s="196">
        <f t="shared" si="1"/>
        <v>0</v>
      </c>
      <c r="L62" s="197">
        <v>0</v>
      </c>
      <c r="M62" s="202">
        <f t="shared" si="2"/>
        <v>2434.98</v>
      </c>
      <c r="N62" s="19"/>
      <c r="Q62" s="54"/>
      <c r="R62" s="56"/>
    </row>
    <row r="63" spans="2:18" ht="45" customHeight="1" x14ac:dyDescent="0.3">
      <c r="D63" s="371" t="s">
        <v>385</v>
      </c>
      <c r="E63" s="216" t="s">
        <v>178</v>
      </c>
      <c r="F63" s="221" t="s">
        <v>38</v>
      </c>
      <c r="G63" s="218">
        <v>15</v>
      </c>
      <c r="H63" s="202">
        <v>2896</v>
      </c>
      <c r="I63" s="197">
        <v>2896</v>
      </c>
      <c r="J63" s="196">
        <f t="shared" si="0"/>
        <v>0</v>
      </c>
      <c r="K63" s="196">
        <f t="shared" si="1"/>
        <v>34.520000000000003</v>
      </c>
      <c r="L63" s="197">
        <v>0</v>
      </c>
      <c r="M63" s="202">
        <f t="shared" si="2"/>
        <v>2861.48</v>
      </c>
      <c r="N63" s="19"/>
      <c r="Q63" s="54"/>
      <c r="R63" s="56"/>
    </row>
    <row r="64" spans="2:18" ht="45" customHeight="1" x14ac:dyDescent="0.3">
      <c r="D64" s="371" t="s">
        <v>386</v>
      </c>
      <c r="E64" s="216" t="s">
        <v>92</v>
      </c>
      <c r="F64" s="221" t="s">
        <v>32</v>
      </c>
      <c r="G64" s="218">
        <v>15</v>
      </c>
      <c r="H64" s="202">
        <v>3257</v>
      </c>
      <c r="I64" s="197">
        <v>3257</v>
      </c>
      <c r="J64" s="196">
        <f t="shared" si="0"/>
        <v>0</v>
      </c>
      <c r="K64" s="196">
        <f t="shared" si="1"/>
        <v>94.07</v>
      </c>
      <c r="L64" s="197">
        <v>0</v>
      </c>
      <c r="M64" s="202">
        <f t="shared" si="2"/>
        <v>3162.93</v>
      </c>
      <c r="N64" s="19"/>
      <c r="Q64" s="54"/>
      <c r="R64" s="56"/>
    </row>
    <row r="65" spans="2:240" ht="45" customHeight="1" x14ac:dyDescent="0.3">
      <c r="D65" s="371" t="s">
        <v>387</v>
      </c>
      <c r="E65" s="216" t="s">
        <v>83</v>
      </c>
      <c r="F65" s="221" t="s">
        <v>57</v>
      </c>
      <c r="G65" s="218">
        <v>15</v>
      </c>
      <c r="H65" s="202">
        <v>2415</v>
      </c>
      <c r="I65" s="197">
        <v>2415</v>
      </c>
      <c r="J65" s="196">
        <f t="shared" si="0"/>
        <v>19.98</v>
      </c>
      <c r="K65" s="196">
        <f t="shared" si="1"/>
        <v>0</v>
      </c>
      <c r="L65" s="197">
        <v>0</v>
      </c>
      <c r="M65" s="202">
        <f t="shared" si="2"/>
        <v>2434.98</v>
      </c>
      <c r="N65" s="19"/>
      <c r="Q65" s="54"/>
      <c r="R65" s="56"/>
    </row>
    <row r="66" spans="2:240" ht="45" customHeight="1" x14ac:dyDescent="0.3">
      <c r="D66" s="371" t="s">
        <v>388</v>
      </c>
      <c r="E66" s="216" t="s">
        <v>108</v>
      </c>
      <c r="F66" s="221" t="s">
        <v>32</v>
      </c>
      <c r="G66" s="218">
        <v>15</v>
      </c>
      <c r="H66" s="202">
        <v>2415</v>
      </c>
      <c r="I66" s="197">
        <v>2415</v>
      </c>
      <c r="J66" s="196">
        <f t="shared" si="0"/>
        <v>19.98</v>
      </c>
      <c r="K66" s="196">
        <f t="shared" si="1"/>
        <v>0</v>
      </c>
      <c r="L66" s="197">
        <v>0</v>
      </c>
      <c r="M66" s="202">
        <f t="shared" si="2"/>
        <v>2434.98</v>
      </c>
      <c r="N66" s="19"/>
      <c r="Q66" s="54"/>
      <c r="R66" s="56"/>
    </row>
    <row r="67" spans="2:240" ht="45" customHeight="1" x14ac:dyDescent="0.3">
      <c r="D67" s="371" t="s">
        <v>389</v>
      </c>
      <c r="E67" s="216" t="s">
        <v>94</v>
      </c>
      <c r="F67" s="216" t="s">
        <v>32</v>
      </c>
      <c r="G67" s="424">
        <v>15</v>
      </c>
      <c r="H67" s="202">
        <v>4253</v>
      </c>
      <c r="I67" s="197">
        <v>4253</v>
      </c>
      <c r="J67" s="196">
        <f t="shared" si="0"/>
        <v>0</v>
      </c>
      <c r="K67" s="196">
        <f t="shared" si="1"/>
        <v>327.54000000000002</v>
      </c>
      <c r="L67" s="197">
        <v>0</v>
      </c>
      <c r="M67" s="202">
        <f t="shared" si="2"/>
        <v>3925.46</v>
      </c>
      <c r="N67" s="19"/>
      <c r="Q67" s="54"/>
      <c r="R67" s="56"/>
    </row>
    <row r="68" spans="2:240" ht="45" customHeight="1" x14ac:dyDescent="0.3">
      <c r="D68" s="371" t="s">
        <v>390</v>
      </c>
      <c r="E68" s="216" t="s">
        <v>109</v>
      </c>
      <c r="F68" s="221" t="s">
        <v>32</v>
      </c>
      <c r="G68" s="218">
        <v>15</v>
      </c>
      <c r="H68" s="202">
        <v>2201</v>
      </c>
      <c r="I68" s="197">
        <v>2201</v>
      </c>
      <c r="J68" s="196">
        <f t="shared" si="0"/>
        <v>48.17</v>
      </c>
      <c r="K68" s="196">
        <f t="shared" si="1"/>
        <v>0</v>
      </c>
      <c r="L68" s="197">
        <v>0</v>
      </c>
      <c r="M68" s="202">
        <f t="shared" si="2"/>
        <v>2249.17</v>
      </c>
      <c r="N68" s="19"/>
      <c r="Q68" s="54"/>
      <c r="R68" s="56"/>
    </row>
    <row r="69" spans="2:240" ht="45" customHeight="1" x14ac:dyDescent="0.3">
      <c r="D69" s="371" t="s">
        <v>391</v>
      </c>
      <c r="E69" s="216" t="s">
        <v>105</v>
      </c>
      <c r="F69" s="221" t="s">
        <v>32</v>
      </c>
      <c r="G69" s="218">
        <v>15</v>
      </c>
      <c r="H69" s="202">
        <v>2517</v>
      </c>
      <c r="I69" s="197">
        <v>2517</v>
      </c>
      <c r="J69" s="196">
        <f t="shared" si="0"/>
        <v>13.46</v>
      </c>
      <c r="K69" s="196">
        <f t="shared" si="1"/>
        <v>0</v>
      </c>
      <c r="L69" s="197">
        <v>0</v>
      </c>
      <c r="M69" s="202">
        <f t="shared" si="2"/>
        <v>2530.46</v>
      </c>
      <c r="N69" s="19"/>
      <c r="Q69" s="54"/>
      <c r="R69" s="56"/>
    </row>
    <row r="70" spans="2:240" ht="45" customHeight="1" x14ac:dyDescent="0.3">
      <c r="D70" s="371" t="s">
        <v>392</v>
      </c>
      <c r="E70" s="216" t="s">
        <v>141</v>
      </c>
      <c r="F70" s="221" t="s">
        <v>32</v>
      </c>
      <c r="G70" s="218">
        <v>15</v>
      </c>
      <c r="H70" s="202">
        <v>2276</v>
      </c>
      <c r="I70" s="197">
        <v>2276</v>
      </c>
      <c r="J70" s="196">
        <f t="shared" si="0"/>
        <v>43.37</v>
      </c>
      <c r="K70" s="196">
        <f t="shared" si="1"/>
        <v>0</v>
      </c>
      <c r="L70" s="197">
        <v>0</v>
      </c>
      <c r="M70" s="202">
        <f t="shared" si="2"/>
        <v>2319.37</v>
      </c>
      <c r="N70" s="19"/>
      <c r="Q70" s="54"/>
      <c r="R70" s="56"/>
    </row>
    <row r="71" spans="2:240" ht="45" customHeight="1" x14ac:dyDescent="0.3">
      <c r="D71" s="371" t="s">
        <v>393</v>
      </c>
      <c r="E71" s="216" t="s">
        <v>104</v>
      </c>
      <c r="F71" s="221" t="s">
        <v>32</v>
      </c>
      <c r="G71" s="218">
        <v>15</v>
      </c>
      <c r="H71" s="202">
        <v>3257</v>
      </c>
      <c r="I71" s="197">
        <f>H71</f>
        <v>3257</v>
      </c>
      <c r="J71" s="196">
        <f t="shared" si="0"/>
        <v>0</v>
      </c>
      <c r="K71" s="196">
        <f t="shared" si="1"/>
        <v>94.07</v>
      </c>
      <c r="L71" s="197">
        <v>0</v>
      </c>
      <c r="M71" s="202">
        <f t="shared" si="2"/>
        <v>3162.93</v>
      </c>
      <c r="N71" s="19"/>
      <c r="Q71" s="54"/>
      <c r="R71" s="56"/>
    </row>
    <row r="72" spans="2:240" ht="45" customHeight="1" x14ac:dyDescent="0.3">
      <c r="B72" s="14"/>
      <c r="C72" s="42"/>
      <c r="D72" s="371" t="s">
        <v>394</v>
      </c>
      <c r="E72" s="216" t="s">
        <v>112</v>
      </c>
      <c r="F72" s="221" t="s">
        <v>38</v>
      </c>
      <c r="G72" s="218">
        <v>15</v>
      </c>
      <c r="H72" s="202">
        <v>3359</v>
      </c>
      <c r="I72" s="197">
        <v>3359</v>
      </c>
      <c r="J72" s="196">
        <f t="shared" si="0"/>
        <v>0</v>
      </c>
      <c r="K72" s="196">
        <f t="shared" si="1"/>
        <v>105.17</v>
      </c>
      <c r="L72" s="197">
        <v>0</v>
      </c>
      <c r="M72" s="202">
        <f t="shared" si="2"/>
        <v>3253.83</v>
      </c>
      <c r="N72" s="19"/>
      <c r="O72" s="59"/>
      <c r="P72" s="57"/>
      <c r="Q72" s="58"/>
      <c r="R72" s="56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43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</row>
    <row r="73" spans="2:240" ht="45" customHeight="1" x14ac:dyDescent="0.3">
      <c r="D73" s="371" t="s">
        <v>395</v>
      </c>
      <c r="E73" s="198" t="s">
        <v>219</v>
      </c>
      <c r="F73" s="205" t="s">
        <v>36</v>
      </c>
      <c r="G73" s="195">
        <v>15</v>
      </c>
      <c r="H73" s="202">
        <v>1630</v>
      </c>
      <c r="I73" s="197">
        <f>H73</f>
        <v>1630</v>
      </c>
      <c r="J73" s="196">
        <f t="shared" si="0"/>
        <v>110.56</v>
      </c>
      <c r="K73" s="196">
        <f t="shared" si="1"/>
        <v>0</v>
      </c>
      <c r="L73" s="197">
        <v>0</v>
      </c>
      <c r="M73" s="202">
        <f t="shared" si="2"/>
        <v>1740.56</v>
      </c>
      <c r="N73" s="19"/>
      <c r="P73" s="41"/>
      <c r="Q73" s="55"/>
      <c r="R73" s="56"/>
    </row>
    <row r="74" spans="2:240" ht="45" customHeight="1" x14ac:dyDescent="0.3">
      <c r="D74" s="371" t="s">
        <v>396</v>
      </c>
      <c r="E74" s="216" t="s">
        <v>273</v>
      </c>
      <c r="F74" s="221" t="s">
        <v>36</v>
      </c>
      <c r="G74" s="218">
        <v>15</v>
      </c>
      <c r="H74" s="202">
        <v>1630</v>
      </c>
      <c r="I74" s="197">
        <f>H74</f>
        <v>1630</v>
      </c>
      <c r="J74" s="196">
        <f t="shared" si="0"/>
        <v>110.56</v>
      </c>
      <c r="K74" s="196">
        <f t="shared" si="1"/>
        <v>0</v>
      </c>
      <c r="L74" s="197">
        <v>0</v>
      </c>
      <c r="M74" s="202">
        <f t="shared" si="2"/>
        <v>1740.56</v>
      </c>
      <c r="N74" s="19"/>
      <c r="Q74" s="54"/>
      <c r="R74" s="56"/>
    </row>
    <row r="75" spans="2:240" ht="45" hidden="1" customHeight="1" x14ac:dyDescent="0.3">
      <c r="D75" s="374"/>
      <c r="E75" s="216"/>
      <c r="F75" s="221"/>
      <c r="G75" s="218"/>
      <c r="H75" s="202"/>
      <c r="I75" s="197"/>
      <c r="J75" s="196"/>
      <c r="K75" s="196"/>
      <c r="L75" s="197"/>
      <c r="M75" s="197"/>
      <c r="N75" s="19"/>
      <c r="Q75" s="54"/>
      <c r="R75" s="56"/>
    </row>
    <row r="76" spans="2:240" ht="45" hidden="1" customHeight="1" x14ac:dyDescent="0.3">
      <c r="D76" s="374"/>
      <c r="E76" s="216"/>
      <c r="F76" s="221"/>
      <c r="G76" s="218"/>
      <c r="H76" s="222"/>
      <c r="I76" s="197"/>
      <c r="J76" s="196"/>
      <c r="K76" s="196"/>
      <c r="L76" s="197">
        <v>0</v>
      </c>
      <c r="M76" s="197"/>
      <c r="N76" s="19"/>
      <c r="Q76" s="54"/>
      <c r="R76" s="56"/>
    </row>
    <row r="77" spans="2:240" ht="45" customHeight="1" x14ac:dyDescent="0.3">
      <c r="D77" s="375"/>
      <c r="E77" s="223" t="s">
        <v>49</v>
      </c>
      <c r="F77" s="204"/>
      <c r="G77" s="224"/>
      <c r="H77" s="225"/>
      <c r="I77" s="208"/>
      <c r="J77" s="390"/>
      <c r="K77" s="391"/>
      <c r="L77" s="226"/>
      <c r="M77" s="208"/>
      <c r="N77" s="129"/>
      <c r="Q77" s="54"/>
      <c r="R77" s="56"/>
    </row>
    <row r="78" spans="2:240" ht="45" customHeight="1" x14ac:dyDescent="0.3">
      <c r="D78" s="375" t="s">
        <v>397</v>
      </c>
      <c r="E78" s="219" t="s">
        <v>217</v>
      </c>
      <c r="F78" s="227" t="s">
        <v>50</v>
      </c>
      <c r="G78" s="218">
        <v>15</v>
      </c>
      <c r="H78" s="202">
        <v>3355</v>
      </c>
      <c r="I78" s="197">
        <f>H78</f>
        <v>3355</v>
      </c>
      <c r="J78" s="196">
        <f>IFERROR(IF(ROUND((((I78/G78*30.4)-VLOOKUP((I78/G78*30.4),TARIFA,1))*VLOOKUP((I78/G78*30.4),TARIFA,3)+VLOOKUP((I78/G78*30.4),TARIFA,2)-VLOOKUP((I78/G78*30.4),SUBSIDIO,2))/30.4*G78,2)&lt;0,ROUND(-(((I78/G78*30.4)-VLOOKUP((I78/G78*30.4),TARIFA,1))*VLOOKUP((I78/G78*30.4),TARIFA,3)+VLOOKUP((I78/G78*30.4),TARIFA,2)-VLOOKUP((I78/G78*30.4),SUBSIDIO,2))/30.4*G78,2),0),0)</f>
        <v>0</v>
      </c>
      <c r="K78" s="196">
        <f t="shared" ref="K78" si="3">IFERROR(IF(ROUND((((I78/G78*30.4)-VLOOKUP((I78/G78*30.4),TARIFA,1))*VLOOKUP((I78/G78*30.4),TARIFA,3)+VLOOKUP((I78/G78*30.4),TARIFA,2)-VLOOKUP((I78/G78*30.4),SUBSIDIO,2))/30.4*G78,2)&gt;0,ROUND((((I78/G78*30.4)-VLOOKUP((I78/G78*30.4),TARIFA,1))*VLOOKUP((I78/G78*30.4),TARIFA,3)+VLOOKUP((I78/G78*30.4),TARIFA,2)-VLOOKUP((I78/G78*30.4),SUBSIDIO,2))/30.4*G78,2),0),0)</f>
        <v>104.74</v>
      </c>
      <c r="L78" s="197">
        <v>0</v>
      </c>
      <c r="M78" s="197">
        <f>I78+J78-K78-L78</f>
        <v>3250.26</v>
      </c>
      <c r="N78" s="78"/>
      <c r="Q78" s="54"/>
      <c r="R78" s="56"/>
    </row>
    <row r="79" spans="2:240" ht="38.1" customHeight="1" x14ac:dyDescent="0.2">
      <c r="D79" s="376"/>
      <c r="E79" s="184"/>
      <c r="F79" s="185"/>
      <c r="G79" s="186"/>
      <c r="H79" s="187">
        <f>H78+H74+H73+H72+H71+H70+H69+H68+H67+H66+H65+H64+H63+H62+H61+H60+H59+H58+H57+H56+H55+H54+H53</f>
        <v>56424</v>
      </c>
      <c r="I79" s="187">
        <f>I78+I76+I74+I73+I72+I71+I70+I69+I68+I67+I66+I65+I64+I63+I62+I61+I60+I59+I58+I57+I56+I55+I54+I53</f>
        <v>56424</v>
      </c>
      <c r="J79" s="392">
        <f>J76+J74+J73+J70+J69+J68+J66+J65+J62+J59+J56+J55+J54+J53</f>
        <v>526.05000000000007</v>
      </c>
      <c r="K79" s="392">
        <f>K78+K72+K71+K67+K64+K63+K61+K60+K58+K57</f>
        <v>933.88999999999987</v>
      </c>
      <c r="L79" s="187"/>
      <c r="M79" s="187">
        <f>M78+M76+M74+M73+M72+M71+M70+M69+M68+M67+M66+M65+M64+M63+M62+M61+M60+M59+M58+M57+M56+M55+M54+M53</f>
        <v>56016.160000000018</v>
      </c>
      <c r="N79" s="82"/>
      <c r="Q79" s="54"/>
      <c r="R79" s="56"/>
    </row>
    <row r="80" spans="2:240" ht="38.1" customHeight="1" x14ac:dyDescent="0.3">
      <c r="D80" s="487" t="s">
        <v>12</v>
      </c>
      <c r="E80" s="487"/>
      <c r="F80" s="487"/>
      <c r="G80" s="487"/>
      <c r="H80" s="487"/>
      <c r="I80" s="487"/>
      <c r="J80" s="487"/>
      <c r="K80" s="487"/>
      <c r="L80" s="487"/>
      <c r="M80" s="487"/>
      <c r="N80" s="487"/>
      <c r="Q80" s="54"/>
      <c r="R80" s="56"/>
    </row>
    <row r="81" spans="4:18" ht="38.1" customHeight="1" x14ac:dyDescent="0.3">
      <c r="D81" s="487" t="s">
        <v>167</v>
      </c>
      <c r="E81" s="487"/>
      <c r="F81" s="487"/>
      <c r="G81" s="487"/>
      <c r="H81" s="487"/>
      <c r="I81" s="487"/>
      <c r="J81" s="487"/>
      <c r="K81" s="487"/>
      <c r="L81" s="487"/>
      <c r="M81" s="487"/>
      <c r="N81" s="487"/>
      <c r="Q81" s="54"/>
      <c r="R81" s="56"/>
    </row>
    <row r="82" spans="4:18" ht="38.1" customHeight="1" x14ac:dyDescent="0.3">
      <c r="D82" s="488" t="str">
        <f>D5</f>
        <v>NOMINA 1RA QUINCENA DE MAYO DE 2021</v>
      </c>
      <c r="E82" s="488"/>
      <c r="F82" s="488"/>
      <c r="G82" s="488"/>
      <c r="H82" s="488"/>
      <c r="I82" s="488"/>
      <c r="J82" s="488"/>
      <c r="K82" s="488"/>
      <c r="L82" s="488"/>
      <c r="M82" s="488"/>
      <c r="N82" s="488"/>
      <c r="Q82" s="54"/>
      <c r="R82" s="56"/>
    </row>
    <row r="83" spans="4:18" ht="38.1" customHeight="1" x14ac:dyDescent="0.3">
      <c r="D83" s="488" t="s">
        <v>154</v>
      </c>
      <c r="E83" s="488"/>
      <c r="F83" s="488"/>
      <c r="G83" s="488"/>
      <c r="H83" s="488"/>
      <c r="I83" s="488"/>
      <c r="J83" s="488"/>
      <c r="K83" s="488"/>
      <c r="L83" s="488"/>
      <c r="M83" s="488"/>
      <c r="N83" s="488"/>
      <c r="Q83" s="54"/>
      <c r="R83" s="56"/>
    </row>
    <row r="84" spans="4:18" ht="38.1" customHeight="1" x14ac:dyDescent="0.2">
      <c r="D84" s="500" t="s">
        <v>360</v>
      </c>
      <c r="E84" s="104"/>
      <c r="F84" s="104"/>
      <c r="G84" s="105" t="s">
        <v>4</v>
      </c>
      <c r="H84" s="494" t="s">
        <v>0</v>
      </c>
      <c r="I84" s="495"/>
      <c r="J84" s="496"/>
      <c r="K84" s="383"/>
      <c r="L84" s="106"/>
      <c r="M84" s="105"/>
      <c r="N84" s="107"/>
      <c r="Q84" s="54"/>
      <c r="R84" s="56"/>
    </row>
    <row r="85" spans="4:18" ht="38.1" customHeight="1" x14ac:dyDescent="0.2">
      <c r="D85" s="501"/>
      <c r="E85" s="107"/>
      <c r="F85" s="105"/>
      <c r="G85" s="108" t="s">
        <v>5</v>
      </c>
      <c r="H85" s="109" t="s">
        <v>1</v>
      </c>
      <c r="I85" s="109" t="s">
        <v>153</v>
      </c>
      <c r="J85" s="384" t="s">
        <v>157</v>
      </c>
      <c r="K85" s="384"/>
      <c r="L85" s="105" t="s">
        <v>172</v>
      </c>
      <c r="M85" s="105" t="s">
        <v>156</v>
      </c>
      <c r="N85" s="110"/>
      <c r="Q85" s="54"/>
      <c r="R85" s="56"/>
    </row>
    <row r="86" spans="4:18" ht="38.1" customHeight="1" x14ac:dyDescent="0.25">
      <c r="D86" s="501"/>
      <c r="E86" s="111"/>
      <c r="F86" s="112" t="s">
        <v>10</v>
      </c>
      <c r="G86" s="105"/>
      <c r="H86" s="105" t="s">
        <v>7</v>
      </c>
      <c r="I86" s="105" t="s">
        <v>156</v>
      </c>
      <c r="J86" s="108" t="s">
        <v>158</v>
      </c>
      <c r="K86" s="108" t="s">
        <v>159</v>
      </c>
      <c r="L86" s="105" t="s">
        <v>174</v>
      </c>
      <c r="M86" s="105" t="s">
        <v>162</v>
      </c>
      <c r="N86" s="109" t="s">
        <v>165</v>
      </c>
      <c r="Q86" s="54"/>
      <c r="R86" s="56"/>
    </row>
    <row r="87" spans="4:18" ht="38.1" customHeight="1" x14ac:dyDescent="0.25">
      <c r="D87" s="502"/>
      <c r="E87" s="111" t="s">
        <v>76</v>
      </c>
      <c r="F87" s="111" t="s">
        <v>9</v>
      </c>
      <c r="G87" s="109"/>
      <c r="H87" s="109"/>
      <c r="I87" s="109"/>
      <c r="J87" s="384"/>
      <c r="K87" s="385"/>
      <c r="L87" s="113"/>
      <c r="M87" s="109"/>
      <c r="N87" s="109"/>
      <c r="Q87" s="54"/>
      <c r="R87" s="56"/>
    </row>
    <row r="88" spans="4:18" ht="39.950000000000003" customHeight="1" x14ac:dyDescent="0.3">
      <c r="D88" s="373"/>
      <c r="E88" s="211" t="s">
        <v>243</v>
      </c>
      <c r="F88" s="212"/>
      <c r="G88" s="213"/>
      <c r="H88" s="214"/>
      <c r="I88" s="215"/>
      <c r="J88" s="389"/>
      <c r="K88" s="389"/>
      <c r="L88" s="215"/>
      <c r="M88" s="208"/>
      <c r="N88" s="63"/>
      <c r="Q88" s="54"/>
      <c r="R88" s="56"/>
    </row>
    <row r="89" spans="4:18" ht="39.950000000000003" customHeight="1" x14ac:dyDescent="0.3">
      <c r="D89" s="374" t="s">
        <v>398</v>
      </c>
      <c r="E89" s="216" t="s">
        <v>244</v>
      </c>
      <c r="F89" s="217" t="s">
        <v>245</v>
      </c>
      <c r="G89" s="218">
        <v>15</v>
      </c>
      <c r="H89" s="197">
        <v>2309</v>
      </c>
      <c r="I89" s="197">
        <v>2309</v>
      </c>
      <c r="J89" s="196">
        <f>IFERROR(IF(ROUND((((I89/G89*30.4)-VLOOKUP((I89/G89*30.4),TARIFA,1))*VLOOKUP((I89/G89*30.4),TARIFA,3)+VLOOKUP((I89/G89*30.4),TARIFA,2)-VLOOKUP((I89/G89*30.4),SUBSIDIO,2))/30.4*G89,2)&lt;0,ROUND(-(((I89/G89*30.4)-VLOOKUP((I89/G89*30.4),TARIFA,1))*VLOOKUP((I89/G89*30.4),TARIFA,3)+VLOOKUP((I89/G89*30.4),TARIFA,2)-VLOOKUP((I89/G89*30.4),SUBSIDIO,2))/30.4*G89,2),0),0)</f>
        <v>41.26</v>
      </c>
      <c r="K89" s="196">
        <f>IFERROR(IF(ROUND((((I89/G89*30.4)-VLOOKUP((I89/G89*30.4),TARIFA,1))*VLOOKUP((I89/G89*30.4),TARIFA,3)+VLOOKUP((I89/G89*30.4),TARIFA,2)-VLOOKUP((I89/G89*30.4),SUBSIDIO,2))/30.4*G89,2)&gt;0,ROUND((((I89/G89*30.4)-VLOOKUP((I89/G89*30.4),TARIFA,1))*VLOOKUP((I89/G89*30.4),TARIFA,3)+VLOOKUP((I89/G89*30.4),TARIFA,2)-VLOOKUP((I89/G89*30.4),SUBSIDIO,2))/30.4*G89,2),0),0)</f>
        <v>0</v>
      </c>
      <c r="L89" s="197"/>
      <c r="M89" s="197">
        <f t="shared" ref="M89:M91" si="4">I89+J89-K89-L89</f>
        <v>2350.2600000000002</v>
      </c>
      <c r="N89" s="19"/>
      <c r="Q89" s="54"/>
      <c r="R89" s="56"/>
    </row>
    <row r="90" spans="4:18" ht="39.950000000000003" customHeight="1" x14ac:dyDescent="0.3">
      <c r="D90" s="374"/>
      <c r="E90" s="228" t="s">
        <v>246</v>
      </c>
      <c r="F90" s="229"/>
      <c r="G90" s="218"/>
      <c r="H90" s="202"/>
      <c r="I90" s="197"/>
      <c r="J90" s="196"/>
      <c r="K90" s="196"/>
      <c r="L90" s="197"/>
      <c r="M90" s="197"/>
      <c r="N90" s="19"/>
      <c r="Q90" s="54"/>
      <c r="R90" s="56"/>
    </row>
    <row r="91" spans="4:18" ht="39.950000000000003" customHeight="1" x14ac:dyDescent="0.3">
      <c r="D91" s="374" t="s">
        <v>399</v>
      </c>
      <c r="E91" s="219" t="s">
        <v>461</v>
      </c>
      <c r="F91" s="229" t="s">
        <v>247</v>
      </c>
      <c r="G91" s="218">
        <v>15</v>
      </c>
      <c r="H91" s="197">
        <v>2983</v>
      </c>
      <c r="I91" s="197">
        <v>2983</v>
      </c>
      <c r="J91" s="196">
        <f>IFERROR(IF(ROUND((((I91/G91*30.4)-VLOOKUP((I91/G91*30.4),TARIFA,1))*VLOOKUP((I91/G91*30.4),TARIFA,3)+VLOOKUP((I91/G91*30.4),TARIFA,2)-VLOOKUP((I91/G91*30.4),SUBSIDIO,2))/30.4*G91,2)&lt;0,ROUND(-(((I91/G91*30.4)-VLOOKUP((I91/G91*30.4),TARIFA,1))*VLOOKUP((I91/G91*30.4),TARIFA,3)+VLOOKUP((I91/G91*30.4),TARIFA,2)-VLOOKUP((I91/G91*30.4),SUBSIDIO,2))/30.4*G91,2),0),0)</f>
        <v>0</v>
      </c>
      <c r="K91" s="196">
        <f>IFERROR(IF(ROUND((((I91/G91*30.4)-VLOOKUP((I91/G91*30.4),TARIFA,1))*VLOOKUP((I91/G91*30.4),TARIFA,3)+VLOOKUP((I91/G91*30.4),TARIFA,2)-VLOOKUP((I91/G91*30.4),SUBSIDIO,2))/30.4*G91,2)&gt;0,ROUND((((I91/G91*30.4)-VLOOKUP((I91/G91*30.4),TARIFA,1))*VLOOKUP((I91/G91*30.4),TARIFA,3)+VLOOKUP((I91/G91*30.4),TARIFA,2)-VLOOKUP((I91/G91*30.4),SUBSIDIO,2))/30.4*G91,2),0),0)</f>
        <v>43.99</v>
      </c>
      <c r="L91" s="197"/>
      <c r="M91" s="197">
        <f t="shared" si="4"/>
        <v>2939.01</v>
      </c>
      <c r="N91" s="19"/>
      <c r="Q91" s="54"/>
      <c r="R91" s="56"/>
    </row>
    <row r="92" spans="4:18" ht="39.950000000000003" customHeight="1" x14ac:dyDescent="0.3">
      <c r="D92" s="374"/>
      <c r="E92" s="230" t="s">
        <v>249</v>
      </c>
      <c r="F92" s="217"/>
      <c r="G92" s="218"/>
      <c r="H92" s="202"/>
      <c r="I92" s="197"/>
      <c r="J92" s="196"/>
      <c r="K92" s="196"/>
      <c r="L92" s="197"/>
      <c r="M92" s="197"/>
      <c r="N92" s="19"/>
      <c r="Q92" s="54"/>
      <c r="R92" s="56"/>
    </row>
    <row r="93" spans="4:18" ht="39.950000000000003" hidden="1" customHeight="1" x14ac:dyDescent="0.3">
      <c r="D93" s="374"/>
      <c r="E93" s="216"/>
      <c r="F93" s="221"/>
      <c r="G93" s="218">
        <v>0</v>
      </c>
      <c r="H93" s="197">
        <v>0</v>
      </c>
      <c r="I93" s="197">
        <v>0</v>
      </c>
      <c r="J93" s="196">
        <v>0</v>
      </c>
      <c r="K93" s="196"/>
      <c r="L93" s="197"/>
      <c r="M93" s="197">
        <v>0</v>
      </c>
      <c r="N93" s="19"/>
      <c r="Q93" s="54"/>
      <c r="R93" s="56"/>
    </row>
    <row r="94" spans="4:18" ht="39.950000000000003" customHeight="1" x14ac:dyDescent="0.3">
      <c r="D94" s="374" t="s">
        <v>400</v>
      </c>
      <c r="E94" s="216" t="s">
        <v>265</v>
      </c>
      <c r="F94" s="221" t="s">
        <v>250</v>
      </c>
      <c r="G94" s="218">
        <v>15</v>
      </c>
      <c r="H94" s="197">
        <v>2309</v>
      </c>
      <c r="I94" s="197">
        <v>2309</v>
      </c>
      <c r="J94" s="196">
        <f>IFERROR(IF(ROUND((((I94/G94*30.4)-VLOOKUP((I94/G94*30.4),TARIFA,1))*VLOOKUP((I94/G94*30.4),TARIFA,3)+VLOOKUP((I94/G94*30.4),TARIFA,2)-VLOOKUP((I94/G94*30.4),SUBSIDIO,2))/30.4*G94,2)&lt;0,ROUND(-(((I94/G94*30.4)-VLOOKUP((I94/G94*30.4),TARIFA,1))*VLOOKUP((I94/G94*30.4),TARIFA,3)+VLOOKUP((I94/G94*30.4),TARIFA,2)-VLOOKUP((I94/G94*30.4),SUBSIDIO,2))/30.4*G94,2),0),0)</f>
        <v>41.26</v>
      </c>
      <c r="K94" s="196">
        <f>IFERROR(IF(ROUND((((I94/G94*30.4)-VLOOKUP((I94/G94*30.4),TARIFA,1))*VLOOKUP((I94/G94*30.4),TARIFA,3)+VLOOKUP((I94/G94*30.4),TARIFA,2)-VLOOKUP((I94/G94*30.4),SUBSIDIO,2))/30.4*G94,2)&gt;0,ROUND((((I94/G94*30.4)-VLOOKUP((I94/G94*30.4),TARIFA,1))*VLOOKUP((I94/G94*30.4),TARIFA,3)+VLOOKUP((I94/G94*30.4),TARIFA,2)-VLOOKUP((I94/G94*30.4),SUBSIDIO,2))/30.4*G94,2),0),0)</f>
        <v>0</v>
      </c>
      <c r="L94" s="197"/>
      <c r="M94" s="197">
        <f t="shared" ref="M94" si="5">I94+J94-K94-L94</f>
        <v>2350.2600000000002</v>
      </c>
      <c r="N94" s="19"/>
      <c r="Q94" s="54"/>
      <c r="R94" s="56"/>
    </row>
    <row r="95" spans="4:18" ht="39.950000000000003" customHeight="1" x14ac:dyDescent="0.3">
      <c r="D95" s="374"/>
      <c r="E95" s="230" t="s">
        <v>251</v>
      </c>
      <c r="F95" s="221"/>
      <c r="G95" s="218"/>
      <c r="H95" s="202"/>
      <c r="I95" s="197"/>
      <c r="J95" s="196"/>
      <c r="K95" s="196"/>
      <c r="L95" s="197"/>
      <c r="M95" s="197"/>
      <c r="N95" s="19"/>
      <c r="Q95" s="54"/>
      <c r="R95" s="56"/>
    </row>
    <row r="96" spans="4:18" ht="39.950000000000003" customHeight="1" x14ac:dyDescent="0.3">
      <c r="D96" s="374" t="s">
        <v>401</v>
      </c>
      <c r="E96" s="216" t="s">
        <v>274</v>
      </c>
      <c r="F96" s="221" t="s">
        <v>32</v>
      </c>
      <c r="G96" s="218">
        <v>15</v>
      </c>
      <c r="H96" s="197">
        <v>2309</v>
      </c>
      <c r="I96" s="197">
        <v>2309</v>
      </c>
      <c r="J96" s="196">
        <f t="shared" ref="J96:J109" si="6">IFERROR(IF(ROUND((((I96/G96*30.4)-VLOOKUP((I96/G96*30.4),TARIFA,1))*VLOOKUP((I96/G96*30.4),TARIFA,3)+VLOOKUP((I96/G96*30.4),TARIFA,2)-VLOOKUP((I96/G96*30.4),SUBSIDIO,2))/30.4*G96,2)&lt;0,ROUND(-(((I96/G96*30.4)-VLOOKUP((I96/G96*30.4),TARIFA,1))*VLOOKUP((I96/G96*30.4),TARIFA,3)+VLOOKUP((I96/G96*30.4),TARIFA,2)-VLOOKUP((I96/G96*30.4),SUBSIDIO,2))/30.4*G96,2),0),0)</f>
        <v>41.26</v>
      </c>
      <c r="K96" s="196">
        <f t="shared" ref="K96:K109" si="7">IFERROR(IF(ROUND((((I96/G96*30.4)-VLOOKUP((I96/G96*30.4),TARIFA,1))*VLOOKUP((I96/G96*30.4),TARIFA,3)+VLOOKUP((I96/G96*30.4),TARIFA,2)-VLOOKUP((I96/G96*30.4),SUBSIDIO,2))/30.4*G96,2)&gt;0,ROUND((((I96/G96*30.4)-VLOOKUP((I96/G96*30.4),TARIFA,1))*VLOOKUP((I96/G96*30.4),TARIFA,3)+VLOOKUP((I96/G96*30.4),TARIFA,2)-VLOOKUP((I96/G96*30.4),SUBSIDIO,2))/30.4*G96,2),0),0)</f>
        <v>0</v>
      </c>
      <c r="L96" s="197"/>
      <c r="M96" s="197">
        <f t="shared" ref="M96:M109" si="8">I96+J96-K96-L96</f>
        <v>2350.2600000000002</v>
      </c>
      <c r="N96" s="19"/>
      <c r="Q96" s="54"/>
      <c r="R96" s="56"/>
    </row>
    <row r="97" spans="4:18" ht="39.950000000000003" customHeight="1" x14ac:dyDescent="0.3">
      <c r="D97" s="374" t="s">
        <v>402</v>
      </c>
      <c r="E97" s="216" t="s">
        <v>275</v>
      </c>
      <c r="F97" s="221" t="s">
        <v>32</v>
      </c>
      <c r="G97" s="218">
        <v>15</v>
      </c>
      <c r="H97" s="197">
        <v>2309</v>
      </c>
      <c r="I97" s="197">
        <v>2309</v>
      </c>
      <c r="J97" s="196">
        <f t="shared" si="6"/>
        <v>41.26</v>
      </c>
      <c r="K97" s="196">
        <f t="shared" si="7"/>
        <v>0</v>
      </c>
      <c r="L97" s="197"/>
      <c r="M97" s="197">
        <f t="shared" si="8"/>
        <v>2350.2600000000002</v>
      </c>
      <c r="N97" s="19"/>
      <c r="Q97" s="54"/>
      <c r="R97" s="56"/>
    </row>
    <row r="98" spans="4:18" ht="39.950000000000003" customHeight="1" x14ac:dyDescent="0.3">
      <c r="D98" s="374" t="s">
        <v>403</v>
      </c>
      <c r="E98" s="216" t="s">
        <v>276</v>
      </c>
      <c r="F98" s="221" t="s">
        <v>277</v>
      </c>
      <c r="G98" s="218">
        <v>15</v>
      </c>
      <c r="H98" s="222">
        <v>2537</v>
      </c>
      <c r="I98" s="197">
        <v>2537</v>
      </c>
      <c r="J98" s="196">
        <f t="shared" si="6"/>
        <v>12.18</v>
      </c>
      <c r="K98" s="196">
        <f t="shared" si="7"/>
        <v>0</v>
      </c>
      <c r="L98" s="197">
        <v>0</v>
      </c>
      <c r="M98" s="197">
        <f t="shared" si="8"/>
        <v>2549.1799999999998</v>
      </c>
      <c r="N98" s="19"/>
      <c r="Q98" s="54"/>
      <c r="R98" s="56"/>
    </row>
    <row r="99" spans="4:18" ht="39.950000000000003" customHeight="1" x14ac:dyDescent="0.3">
      <c r="D99" s="374" t="s">
        <v>404</v>
      </c>
      <c r="E99" s="216" t="s">
        <v>252</v>
      </c>
      <c r="F99" s="221" t="s">
        <v>32</v>
      </c>
      <c r="G99" s="218">
        <v>15</v>
      </c>
      <c r="H99" s="202">
        <v>2415</v>
      </c>
      <c r="I99" s="197">
        <v>2415</v>
      </c>
      <c r="J99" s="196">
        <f t="shared" si="6"/>
        <v>19.98</v>
      </c>
      <c r="K99" s="196">
        <f t="shared" si="7"/>
        <v>0</v>
      </c>
      <c r="L99" s="197">
        <v>0</v>
      </c>
      <c r="M99" s="197">
        <f t="shared" si="8"/>
        <v>2434.98</v>
      </c>
      <c r="N99" s="19"/>
      <c r="Q99" s="54"/>
      <c r="R99" s="56"/>
    </row>
    <row r="100" spans="4:18" ht="39.950000000000003" customHeight="1" x14ac:dyDescent="0.3">
      <c r="D100" s="374" t="s">
        <v>405</v>
      </c>
      <c r="E100" s="216" t="s">
        <v>253</v>
      </c>
      <c r="F100" s="221" t="s">
        <v>32</v>
      </c>
      <c r="G100" s="218">
        <v>15</v>
      </c>
      <c r="H100" s="202">
        <v>2415</v>
      </c>
      <c r="I100" s="197">
        <v>2415</v>
      </c>
      <c r="J100" s="196">
        <f t="shared" si="6"/>
        <v>19.98</v>
      </c>
      <c r="K100" s="196">
        <f t="shared" si="7"/>
        <v>0</v>
      </c>
      <c r="L100" s="197">
        <v>0</v>
      </c>
      <c r="M100" s="197">
        <f t="shared" si="8"/>
        <v>2434.98</v>
      </c>
      <c r="N100" s="19"/>
      <c r="Q100" s="54"/>
      <c r="R100" s="56"/>
    </row>
    <row r="101" spans="4:18" ht="39.950000000000003" customHeight="1" x14ac:dyDescent="0.3">
      <c r="D101" s="374" t="s">
        <v>406</v>
      </c>
      <c r="E101" s="216" t="s">
        <v>261</v>
      </c>
      <c r="F101" s="221" t="s">
        <v>43</v>
      </c>
      <c r="G101" s="218">
        <v>15</v>
      </c>
      <c r="H101" s="202">
        <v>2493</v>
      </c>
      <c r="I101" s="197">
        <v>2493</v>
      </c>
      <c r="J101" s="196">
        <f t="shared" si="6"/>
        <v>14.99</v>
      </c>
      <c r="K101" s="196">
        <f t="shared" si="7"/>
        <v>0</v>
      </c>
      <c r="L101" s="197"/>
      <c r="M101" s="197">
        <f t="shared" si="8"/>
        <v>2507.9899999999998</v>
      </c>
      <c r="N101" s="19"/>
      <c r="Q101" s="54"/>
      <c r="R101" s="56"/>
    </row>
    <row r="102" spans="4:18" ht="39.950000000000003" hidden="1" customHeight="1" x14ac:dyDescent="0.3">
      <c r="D102" s="374">
        <v>53</v>
      </c>
      <c r="E102" s="216"/>
      <c r="F102" s="221"/>
      <c r="G102" s="218"/>
      <c r="H102" s="202"/>
      <c r="I102" s="197"/>
      <c r="J102" s="196">
        <f t="shared" si="6"/>
        <v>0</v>
      </c>
      <c r="K102" s="196">
        <f t="shared" si="7"/>
        <v>0</v>
      </c>
      <c r="L102" s="197"/>
      <c r="M102" s="197">
        <f t="shared" si="8"/>
        <v>0</v>
      </c>
      <c r="N102" s="19"/>
      <c r="Q102" s="54"/>
      <c r="R102" s="56"/>
    </row>
    <row r="103" spans="4:18" ht="39.950000000000003" hidden="1" customHeight="1" x14ac:dyDescent="0.3">
      <c r="D103" s="374"/>
      <c r="E103" s="165"/>
      <c r="F103" s="221"/>
      <c r="G103" s="218"/>
      <c r="H103" s="202"/>
      <c r="I103" s="197"/>
      <c r="J103" s="196">
        <f t="shared" si="6"/>
        <v>0</v>
      </c>
      <c r="K103" s="196">
        <f t="shared" si="7"/>
        <v>0</v>
      </c>
      <c r="L103" s="197"/>
      <c r="M103" s="197">
        <f t="shared" si="8"/>
        <v>0</v>
      </c>
      <c r="N103" s="19"/>
      <c r="Q103" s="54"/>
      <c r="R103" s="56"/>
    </row>
    <row r="104" spans="4:18" ht="39.950000000000003" hidden="1" customHeight="1" x14ac:dyDescent="0.3">
      <c r="D104" s="374"/>
      <c r="E104" s="165"/>
      <c r="F104" s="221"/>
      <c r="G104" s="218"/>
      <c r="H104" s="202"/>
      <c r="I104" s="197"/>
      <c r="J104" s="196">
        <f t="shared" si="6"/>
        <v>0</v>
      </c>
      <c r="K104" s="196">
        <f t="shared" si="7"/>
        <v>0</v>
      </c>
      <c r="L104" s="197"/>
      <c r="M104" s="197">
        <f t="shared" si="8"/>
        <v>0</v>
      </c>
      <c r="N104" s="19"/>
      <c r="Q104" s="54"/>
      <c r="R104" s="56"/>
    </row>
    <row r="105" spans="4:18" ht="39.950000000000003" customHeight="1" x14ac:dyDescent="0.3">
      <c r="D105" s="374" t="s">
        <v>407</v>
      </c>
      <c r="E105" s="165" t="s">
        <v>269</v>
      </c>
      <c r="F105" s="221" t="s">
        <v>38</v>
      </c>
      <c r="G105" s="218">
        <v>15</v>
      </c>
      <c r="H105" s="202">
        <v>2896</v>
      </c>
      <c r="I105" s="197">
        <v>2896</v>
      </c>
      <c r="J105" s="196">
        <f t="shared" si="6"/>
        <v>0</v>
      </c>
      <c r="K105" s="196">
        <f t="shared" si="7"/>
        <v>34.520000000000003</v>
      </c>
      <c r="L105" s="197"/>
      <c r="M105" s="197">
        <f t="shared" si="8"/>
        <v>2861.48</v>
      </c>
      <c r="N105" s="19"/>
      <c r="Q105" s="54"/>
      <c r="R105" s="56"/>
    </row>
    <row r="106" spans="4:18" ht="39.950000000000003" customHeight="1" x14ac:dyDescent="0.3">
      <c r="D106" s="374" t="s">
        <v>408</v>
      </c>
      <c r="E106" s="165" t="s">
        <v>270</v>
      </c>
      <c r="F106" s="221" t="s">
        <v>458</v>
      </c>
      <c r="G106" s="218">
        <v>15</v>
      </c>
      <c r="H106" s="202">
        <v>4101</v>
      </c>
      <c r="I106" s="197">
        <v>4101</v>
      </c>
      <c r="J106" s="196">
        <f t="shared" si="6"/>
        <v>0</v>
      </c>
      <c r="K106" s="196">
        <f t="shared" si="7"/>
        <v>311</v>
      </c>
      <c r="L106" s="197"/>
      <c r="M106" s="197">
        <f t="shared" si="8"/>
        <v>3790</v>
      </c>
      <c r="N106" s="19"/>
      <c r="Q106" s="54"/>
      <c r="R106" s="56"/>
    </row>
    <row r="107" spans="4:18" ht="39.950000000000003" customHeight="1" x14ac:dyDescent="0.3">
      <c r="D107" s="374" t="s">
        <v>476</v>
      </c>
      <c r="E107" s="165" t="s">
        <v>456</v>
      </c>
      <c r="F107" s="221" t="s">
        <v>457</v>
      </c>
      <c r="G107" s="218">
        <v>15</v>
      </c>
      <c r="H107" s="202">
        <v>5153</v>
      </c>
      <c r="I107" s="197">
        <v>5153</v>
      </c>
      <c r="J107" s="196">
        <f t="shared" si="6"/>
        <v>0</v>
      </c>
      <c r="K107" s="196">
        <f t="shared" si="7"/>
        <v>446.4</v>
      </c>
      <c r="L107" s="197"/>
      <c r="M107" s="197">
        <f t="shared" si="8"/>
        <v>4706.6000000000004</v>
      </c>
      <c r="N107" s="19"/>
      <c r="Q107" s="54"/>
      <c r="R107" s="56"/>
    </row>
    <row r="108" spans="4:18" ht="39.950000000000003" customHeight="1" x14ac:dyDescent="0.3">
      <c r="D108" s="374" t="s">
        <v>409</v>
      </c>
      <c r="E108" s="165" t="s">
        <v>271</v>
      </c>
      <c r="F108" s="221" t="s">
        <v>38</v>
      </c>
      <c r="G108" s="218">
        <v>15</v>
      </c>
      <c r="H108" s="202">
        <v>2896</v>
      </c>
      <c r="I108" s="197">
        <v>2896</v>
      </c>
      <c r="J108" s="196">
        <f t="shared" si="6"/>
        <v>0</v>
      </c>
      <c r="K108" s="196">
        <f t="shared" si="7"/>
        <v>34.520000000000003</v>
      </c>
      <c r="L108" s="197"/>
      <c r="M108" s="197">
        <f t="shared" si="8"/>
        <v>2861.48</v>
      </c>
      <c r="N108" s="19"/>
      <c r="Q108" s="54"/>
      <c r="R108" s="56"/>
    </row>
    <row r="109" spans="4:18" ht="39.950000000000003" customHeight="1" x14ac:dyDescent="0.3">
      <c r="D109" s="374" t="s">
        <v>410</v>
      </c>
      <c r="E109" s="165" t="s">
        <v>272</v>
      </c>
      <c r="F109" s="221" t="s">
        <v>38</v>
      </c>
      <c r="G109" s="218">
        <v>15</v>
      </c>
      <c r="H109" s="202">
        <v>2896</v>
      </c>
      <c r="I109" s="197">
        <v>2896</v>
      </c>
      <c r="J109" s="196">
        <f t="shared" si="6"/>
        <v>0</v>
      </c>
      <c r="K109" s="196">
        <f t="shared" si="7"/>
        <v>34.520000000000003</v>
      </c>
      <c r="L109" s="197"/>
      <c r="M109" s="197">
        <f t="shared" si="8"/>
        <v>2861.48</v>
      </c>
      <c r="N109" s="19"/>
      <c r="Q109" s="54"/>
      <c r="R109" s="56"/>
    </row>
    <row r="110" spans="4:18" ht="39.950000000000003" hidden="1" customHeight="1" x14ac:dyDescent="0.3">
      <c r="D110" s="374"/>
      <c r="E110" s="165"/>
      <c r="F110" s="216"/>
      <c r="G110" s="424"/>
      <c r="H110" s="197"/>
      <c r="I110" s="197"/>
      <c r="J110" s="196"/>
      <c r="K110" s="196"/>
      <c r="L110" s="197"/>
      <c r="M110" s="197"/>
      <c r="N110" s="19"/>
      <c r="Q110" s="54"/>
      <c r="R110" s="56"/>
    </row>
    <row r="111" spans="4:18" ht="39.950000000000003" customHeight="1" x14ac:dyDescent="0.3">
      <c r="D111" s="374"/>
      <c r="E111" s="230" t="s">
        <v>224</v>
      </c>
      <c r="F111" s="221"/>
      <c r="G111" s="218"/>
      <c r="H111" s="202"/>
      <c r="I111" s="197"/>
      <c r="J111" s="196"/>
      <c r="K111" s="196"/>
      <c r="L111" s="197"/>
      <c r="M111" s="197"/>
      <c r="N111" s="19"/>
      <c r="Q111" s="54"/>
      <c r="R111" s="56"/>
    </row>
    <row r="112" spans="4:18" ht="39.950000000000003" customHeight="1" x14ac:dyDescent="0.3">
      <c r="D112" s="374" t="s">
        <v>411</v>
      </c>
      <c r="E112" s="216" t="s">
        <v>255</v>
      </c>
      <c r="F112" s="217" t="s">
        <v>256</v>
      </c>
      <c r="G112" s="218">
        <v>15</v>
      </c>
      <c r="H112" s="197">
        <v>2309</v>
      </c>
      <c r="I112" s="197">
        <v>2309</v>
      </c>
      <c r="J112" s="196">
        <f>IFERROR(IF(ROUND((((I112/G112*30.4)-VLOOKUP((I112/G112*30.4),TARIFA,1))*VLOOKUP((I112/G112*30.4),TARIFA,3)+VLOOKUP((I112/G112*30.4),TARIFA,2)-VLOOKUP((I112/G112*30.4),SUBSIDIO,2))/30.4*G112,2)&lt;0,ROUND(-(((I112/G112*30.4)-VLOOKUP((I112/G112*30.4),TARIFA,1))*VLOOKUP((I112/G112*30.4),TARIFA,3)+VLOOKUP((I112/G112*30.4),TARIFA,2)-VLOOKUP((I112/G112*30.4),SUBSIDIO,2))/30.4*G112,2),0),0)</f>
        <v>41.26</v>
      </c>
      <c r="K112" s="196">
        <f>IFERROR(IF(ROUND((((I112/G112*30.4)-VLOOKUP((I112/G112*30.4),TARIFA,1))*VLOOKUP((I112/G112*30.4),TARIFA,3)+VLOOKUP((I112/G112*30.4),TARIFA,2)-VLOOKUP((I112/G112*30.4),SUBSIDIO,2))/30.4*G112,2)&gt;0,ROUND((((I112/G112*30.4)-VLOOKUP((I112/G112*30.4),TARIFA,1))*VLOOKUP((I112/G112*30.4),TARIFA,3)+VLOOKUP((I112/G112*30.4),TARIFA,2)-VLOOKUP((I112/G112*30.4),SUBSIDIO,2))/30.4*G112,2),0),0)</f>
        <v>0</v>
      </c>
      <c r="L112" s="197"/>
      <c r="M112" s="197">
        <f t="shared" ref="M112" si="9">I112+J112-K112-L112</f>
        <v>2350.2600000000002</v>
      </c>
      <c r="N112" s="19"/>
      <c r="Q112" s="54"/>
      <c r="R112" s="56"/>
    </row>
    <row r="113" spans="2:18" ht="0.75" customHeight="1" x14ac:dyDescent="0.3">
      <c r="D113" s="374"/>
      <c r="E113" s="230"/>
      <c r="F113" s="143"/>
      <c r="G113" s="138"/>
      <c r="H113" s="156"/>
      <c r="I113" s="141"/>
      <c r="J113" s="355"/>
      <c r="K113" s="355"/>
      <c r="L113" s="141"/>
      <c r="M113" s="141"/>
      <c r="N113" s="19"/>
      <c r="Q113" s="54"/>
      <c r="R113" s="56"/>
    </row>
    <row r="114" spans="2:18" ht="39.75" hidden="1" customHeight="1" x14ac:dyDescent="0.3">
      <c r="D114" s="374"/>
      <c r="E114" s="216"/>
      <c r="F114" s="217"/>
      <c r="G114" s="218"/>
      <c r="H114" s="197"/>
      <c r="I114" s="197"/>
      <c r="J114" s="196"/>
      <c r="K114" s="196"/>
      <c r="L114" s="197"/>
      <c r="M114" s="197"/>
      <c r="N114" s="19"/>
      <c r="Q114" s="54"/>
      <c r="R114" s="56"/>
    </row>
    <row r="115" spans="2:18" ht="38.1" customHeight="1" x14ac:dyDescent="0.2">
      <c r="D115" s="376"/>
      <c r="E115" s="184"/>
      <c r="F115" s="185"/>
      <c r="G115" s="186"/>
      <c r="H115" s="187">
        <f>SUM(H89:H114)</f>
        <v>42330</v>
      </c>
      <c r="I115" s="187">
        <f>SUM(I89:I114)</f>
        <v>42330</v>
      </c>
      <c r="J115" s="392">
        <f>SUM(J89:J114)</f>
        <v>273.43</v>
      </c>
      <c r="K115" s="392">
        <f>SUM(K89:K114)</f>
        <v>904.94999999999993</v>
      </c>
      <c r="L115" s="187"/>
      <c r="M115" s="187">
        <f>SUM(M89:M114)</f>
        <v>41698.48000000001</v>
      </c>
      <c r="N115" s="82"/>
      <c r="Q115" s="54"/>
      <c r="R115" s="56"/>
    </row>
    <row r="116" spans="2:18" ht="38.1" customHeight="1" x14ac:dyDescent="0.2">
      <c r="D116" s="376"/>
      <c r="E116" s="184"/>
      <c r="F116" s="185"/>
      <c r="G116" s="186"/>
      <c r="H116" s="187"/>
      <c r="I116" s="187"/>
      <c r="J116" s="392"/>
      <c r="K116" s="392"/>
      <c r="L116" s="187"/>
      <c r="M116" s="187"/>
      <c r="N116" s="82"/>
      <c r="Q116" s="54"/>
      <c r="R116" s="56"/>
    </row>
    <row r="117" spans="2:18" ht="38.1" customHeight="1" x14ac:dyDescent="0.2">
      <c r="D117" s="376"/>
      <c r="E117" s="184"/>
      <c r="F117" s="185"/>
      <c r="G117" s="186"/>
      <c r="H117" s="187"/>
      <c r="I117" s="187"/>
      <c r="J117" s="392"/>
      <c r="K117" s="392"/>
      <c r="L117" s="187"/>
      <c r="M117" s="187"/>
      <c r="N117" s="82"/>
      <c r="Q117" s="54"/>
      <c r="R117" s="56"/>
    </row>
    <row r="118" spans="2:18" ht="38.1" customHeight="1" x14ac:dyDescent="0.2">
      <c r="D118" s="376"/>
      <c r="E118" s="184"/>
      <c r="F118" s="185"/>
      <c r="G118" s="186"/>
      <c r="H118" s="187"/>
      <c r="I118" s="187"/>
      <c r="J118" s="392"/>
      <c r="K118" s="392"/>
      <c r="L118" s="187"/>
      <c r="M118" s="187"/>
      <c r="N118" s="82"/>
      <c r="Q118" s="54"/>
      <c r="R118" s="56"/>
    </row>
    <row r="119" spans="2:18" ht="38.1" customHeight="1" x14ac:dyDescent="0.2">
      <c r="D119" s="376"/>
      <c r="E119" s="184"/>
      <c r="F119" s="185"/>
      <c r="G119" s="186"/>
      <c r="H119" s="187"/>
      <c r="I119" s="187"/>
      <c r="J119" s="392"/>
      <c r="K119" s="392"/>
      <c r="L119" s="187"/>
      <c r="M119" s="187"/>
      <c r="N119" s="82"/>
      <c r="Q119" s="54"/>
      <c r="R119" s="56"/>
    </row>
    <row r="120" spans="2:18" ht="20.100000000000001" customHeight="1" x14ac:dyDescent="0.3">
      <c r="D120" s="487" t="s">
        <v>12</v>
      </c>
      <c r="E120" s="487"/>
      <c r="F120" s="487"/>
      <c r="G120" s="487"/>
      <c r="H120" s="487"/>
      <c r="I120" s="487"/>
      <c r="J120" s="487"/>
      <c r="K120" s="487"/>
      <c r="L120" s="487"/>
      <c r="M120" s="487"/>
      <c r="N120" s="487"/>
      <c r="Q120" s="54"/>
      <c r="R120" s="56"/>
    </row>
    <row r="121" spans="2:18" ht="20.100000000000001" customHeight="1" x14ac:dyDescent="0.3">
      <c r="D121" s="487" t="s">
        <v>167</v>
      </c>
      <c r="E121" s="487"/>
      <c r="F121" s="487"/>
      <c r="G121" s="487"/>
      <c r="H121" s="487"/>
      <c r="I121" s="487"/>
      <c r="J121" s="487"/>
      <c r="K121" s="487"/>
      <c r="L121" s="487"/>
      <c r="M121" s="487"/>
      <c r="N121" s="487"/>
      <c r="Q121" s="54"/>
      <c r="R121" s="56"/>
    </row>
    <row r="122" spans="2:18" ht="20.100000000000001" customHeight="1" x14ac:dyDescent="0.3">
      <c r="D122" s="488" t="str">
        <f>D5</f>
        <v>NOMINA 1RA QUINCENA DE MAYO DE 2021</v>
      </c>
      <c r="E122" s="488"/>
      <c r="F122" s="488"/>
      <c r="G122" s="488"/>
      <c r="H122" s="488"/>
      <c r="I122" s="488"/>
      <c r="J122" s="488"/>
      <c r="K122" s="488"/>
      <c r="L122" s="488"/>
      <c r="M122" s="488"/>
      <c r="N122" s="488"/>
      <c r="Q122" s="54"/>
      <c r="R122" s="56"/>
    </row>
    <row r="123" spans="2:18" ht="20.100000000000001" customHeight="1" x14ac:dyDescent="0.3">
      <c r="D123" s="488" t="s">
        <v>154</v>
      </c>
      <c r="E123" s="488"/>
      <c r="F123" s="488"/>
      <c r="G123" s="488"/>
      <c r="H123" s="488"/>
      <c r="I123" s="488"/>
      <c r="J123" s="488"/>
      <c r="K123" s="488"/>
      <c r="L123" s="488"/>
      <c r="M123" s="488"/>
      <c r="N123" s="488"/>
      <c r="Q123" s="54"/>
      <c r="R123" s="56"/>
    </row>
    <row r="124" spans="2:18" ht="33" customHeight="1" x14ac:dyDescent="0.2">
      <c r="D124" s="500" t="s">
        <v>360</v>
      </c>
      <c r="E124" s="104"/>
      <c r="F124" s="104"/>
      <c r="G124" s="105" t="s">
        <v>4</v>
      </c>
      <c r="H124" s="494" t="s">
        <v>0</v>
      </c>
      <c r="I124" s="495"/>
      <c r="J124" s="496"/>
      <c r="K124" s="383"/>
      <c r="L124" s="106"/>
      <c r="M124" s="105"/>
      <c r="N124" s="107"/>
      <c r="Q124" s="54"/>
      <c r="R124" s="56"/>
    </row>
    <row r="125" spans="2:18" ht="33" customHeight="1" x14ac:dyDescent="0.2">
      <c r="D125" s="501"/>
      <c r="E125" s="105"/>
      <c r="F125" s="114"/>
      <c r="G125" s="108" t="s">
        <v>5</v>
      </c>
      <c r="H125" s="109" t="s">
        <v>1</v>
      </c>
      <c r="I125" s="109" t="s">
        <v>153</v>
      </c>
      <c r="J125" s="384" t="s">
        <v>157</v>
      </c>
      <c r="K125" s="384"/>
      <c r="L125" s="105" t="s">
        <v>172</v>
      </c>
      <c r="M125" s="105" t="s">
        <v>156</v>
      </c>
      <c r="N125" s="110"/>
      <c r="Q125" s="54"/>
      <c r="R125" s="56"/>
    </row>
    <row r="126" spans="2:18" ht="33" customHeight="1" x14ac:dyDescent="0.25">
      <c r="D126" s="501"/>
      <c r="E126" s="111"/>
      <c r="F126" s="111" t="s">
        <v>10</v>
      </c>
      <c r="G126" s="105"/>
      <c r="H126" s="105" t="s">
        <v>7</v>
      </c>
      <c r="I126" s="105" t="s">
        <v>156</v>
      </c>
      <c r="J126" s="108" t="s">
        <v>158</v>
      </c>
      <c r="K126" s="108" t="s">
        <v>159</v>
      </c>
      <c r="L126" s="105" t="s">
        <v>174</v>
      </c>
      <c r="M126" s="105" t="s">
        <v>162</v>
      </c>
      <c r="N126" s="109" t="s">
        <v>165</v>
      </c>
      <c r="Q126" s="54"/>
      <c r="R126" s="56"/>
    </row>
    <row r="127" spans="2:18" ht="33" customHeight="1" x14ac:dyDescent="0.25">
      <c r="D127" s="502"/>
      <c r="E127" s="111" t="s">
        <v>76</v>
      </c>
      <c r="F127" s="111" t="s">
        <v>9</v>
      </c>
      <c r="G127" s="109"/>
      <c r="H127" s="109"/>
      <c r="I127" s="109"/>
      <c r="J127" s="384"/>
      <c r="K127" s="385"/>
      <c r="L127" s="113"/>
      <c r="M127" s="109"/>
      <c r="N127" s="109"/>
      <c r="Q127" s="54"/>
      <c r="R127" s="56"/>
    </row>
    <row r="128" spans="2:18" ht="39.950000000000003" customHeight="1" x14ac:dyDescent="0.3">
      <c r="B128" s="79"/>
      <c r="D128" s="416"/>
      <c r="E128" s="417" t="s">
        <v>60</v>
      </c>
      <c r="F128" s="221"/>
      <c r="G128" s="218"/>
      <c r="H128" s="202"/>
      <c r="I128" s="418"/>
      <c r="J128" s="419"/>
      <c r="K128" s="419"/>
      <c r="L128" s="418"/>
      <c r="M128" s="197"/>
      <c r="N128" s="19"/>
      <c r="Q128" s="54"/>
      <c r="R128" s="56"/>
    </row>
    <row r="129" spans="4:18" ht="39.950000000000003" customHeight="1" x14ac:dyDescent="0.3">
      <c r="D129" s="377" t="s">
        <v>412</v>
      </c>
      <c r="E129" s="420" t="s">
        <v>84</v>
      </c>
      <c r="F129" s="421" t="s">
        <v>85</v>
      </c>
      <c r="G129" s="422">
        <v>15</v>
      </c>
      <c r="H129" s="423">
        <v>2281</v>
      </c>
      <c r="I129" s="197">
        <v>2281</v>
      </c>
      <c r="J129" s="196">
        <f>IFERROR(IF(ROUND((((I129/G129*30.4)-VLOOKUP((I129/G129*30.4),TARIFA,1))*VLOOKUP((I129/G129*30.4),TARIFA,3)+VLOOKUP((I129/G129*30.4),TARIFA,2)-VLOOKUP((I129/G129*30.4),SUBSIDIO,2))/30.4*G129,2)&lt;0,ROUND(-(((I129/G129*30.4)-VLOOKUP((I129/G129*30.4),TARIFA,1))*VLOOKUP((I129/G129*30.4),TARIFA,3)+VLOOKUP((I129/G129*30.4),TARIFA,2)-VLOOKUP((I129/G129*30.4),SUBSIDIO,2))/30.4*G129,2),0),0)</f>
        <v>43.05</v>
      </c>
      <c r="K129" s="196">
        <f>IFERROR(IF(ROUND((((I129/G129*30.4)-VLOOKUP((I129/G129*30.4),TARIFA,1))*VLOOKUP((I129/G129*30.4),TARIFA,3)+VLOOKUP((I129/G129*30.4),TARIFA,2)-VLOOKUP((I129/G129*30.4),SUBSIDIO,2))/30.4*G129,2)&gt;0,ROUND((((I129/G129*30.4)-VLOOKUP((I129/G129*30.4),TARIFA,1))*VLOOKUP((I129/G129*30.4),TARIFA,3)+VLOOKUP((I129/G129*30.4),TARIFA,2)-VLOOKUP((I129/G129*30.4),SUBSIDIO,2))/30.4*G129,2),0),0)</f>
        <v>0</v>
      </c>
      <c r="L129" s="197">
        <v>0</v>
      </c>
      <c r="M129" s="197">
        <f>I129+J129-K129-L129</f>
        <v>2324.0500000000002</v>
      </c>
      <c r="N129" s="19"/>
      <c r="Q129" s="54"/>
      <c r="R129" s="56"/>
    </row>
    <row r="130" spans="4:18" ht="39.950000000000003" customHeight="1" x14ac:dyDescent="0.3">
      <c r="D130" s="368"/>
      <c r="E130" s="230" t="s">
        <v>46</v>
      </c>
      <c r="F130" s="221"/>
      <c r="G130" s="218"/>
      <c r="H130" s="202"/>
      <c r="I130" s="197"/>
      <c r="J130" s="196"/>
      <c r="K130" s="196"/>
      <c r="L130" s="197"/>
      <c r="M130" s="197"/>
      <c r="N130" s="19"/>
      <c r="Q130" s="54"/>
      <c r="R130" s="56"/>
    </row>
    <row r="131" spans="4:18" ht="39.950000000000003" customHeight="1" x14ac:dyDescent="0.3">
      <c r="D131" s="368" t="s">
        <v>413</v>
      </c>
      <c r="E131" s="216" t="s">
        <v>218</v>
      </c>
      <c r="F131" s="221" t="s">
        <v>36</v>
      </c>
      <c r="G131" s="218">
        <v>15</v>
      </c>
      <c r="H131" s="202">
        <v>819</v>
      </c>
      <c r="I131" s="197">
        <f t="shared" ref="I131:I140" si="10">H131</f>
        <v>819</v>
      </c>
      <c r="J131" s="196">
        <f t="shared" ref="J131:J140" si="11">IFERROR(IF(ROUND((((I131/G131*30.4)-VLOOKUP((I131/G131*30.4),TARIFA,1))*VLOOKUP((I131/G131*30.4),TARIFA,3)+VLOOKUP((I131/G131*30.4),TARIFA,2)-VLOOKUP((I131/G131*30.4),SUBSIDIO,2))/30.4*G131,2)&lt;0,ROUND(-(((I131/G131*30.4)-VLOOKUP((I131/G131*30.4),TARIFA,1))*VLOOKUP((I131/G131*30.4),TARIFA,3)+VLOOKUP((I131/G131*30.4),TARIFA,2)-VLOOKUP((I131/G131*30.4),SUBSIDIO,2))/30.4*G131,2),0),0)</f>
        <v>162.66</v>
      </c>
      <c r="K131" s="196">
        <f t="shared" ref="K131:K140" si="12">IFERROR(IF(ROUND((((I131/G131*30.4)-VLOOKUP((I131/G131*30.4),TARIFA,1))*VLOOKUP((I131/G131*30.4),TARIFA,3)+VLOOKUP((I131/G131*30.4),TARIFA,2)-VLOOKUP((I131/G131*30.4),SUBSIDIO,2))/30.4*G131,2)&gt;0,ROUND((((I131/G131*30.4)-VLOOKUP((I131/G131*30.4),TARIFA,1))*VLOOKUP((I131/G131*30.4),TARIFA,3)+VLOOKUP((I131/G131*30.4),TARIFA,2)-VLOOKUP((I131/G131*30.4),SUBSIDIO,2))/30.4*G131,2),0),0)</f>
        <v>0</v>
      </c>
      <c r="L131" s="197">
        <v>0</v>
      </c>
      <c r="M131" s="197">
        <f t="shared" ref="M131:M154" si="13">I131+J131-K131-L131</f>
        <v>981.66</v>
      </c>
      <c r="N131" s="19"/>
      <c r="Q131" s="54"/>
      <c r="R131" s="56"/>
    </row>
    <row r="132" spans="4:18" ht="39.950000000000003" customHeight="1" x14ac:dyDescent="0.3">
      <c r="D132" s="368" t="s">
        <v>414</v>
      </c>
      <c r="E132" s="216" t="s">
        <v>281</v>
      </c>
      <c r="F132" s="221" t="s">
        <v>36</v>
      </c>
      <c r="G132" s="218">
        <v>15</v>
      </c>
      <c r="H132" s="202">
        <v>819</v>
      </c>
      <c r="I132" s="197">
        <f t="shared" si="10"/>
        <v>819</v>
      </c>
      <c r="J132" s="196">
        <f t="shared" si="11"/>
        <v>162.66</v>
      </c>
      <c r="K132" s="196">
        <f t="shared" si="12"/>
        <v>0</v>
      </c>
      <c r="L132" s="197">
        <v>0</v>
      </c>
      <c r="M132" s="197">
        <f t="shared" si="13"/>
        <v>981.66</v>
      </c>
      <c r="N132" s="19"/>
      <c r="Q132" s="54"/>
      <c r="R132" s="56"/>
    </row>
    <row r="133" spans="4:18" ht="39.950000000000003" customHeight="1" x14ac:dyDescent="0.3">
      <c r="D133" s="368" t="s">
        <v>415</v>
      </c>
      <c r="E133" s="216" t="s">
        <v>231</v>
      </c>
      <c r="F133" s="221" t="s">
        <v>36</v>
      </c>
      <c r="G133" s="218">
        <v>15</v>
      </c>
      <c r="H133" s="202">
        <v>819</v>
      </c>
      <c r="I133" s="197">
        <f t="shared" si="10"/>
        <v>819</v>
      </c>
      <c r="J133" s="196">
        <f t="shared" si="11"/>
        <v>162.66</v>
      </c>
      <c r="K133" s="196">
        <f t="shared" si="12"/>
        <v>0</v>
      </c>
      <c r="L133" s="197">
        <v>0</v>
      </c>
      <c r="M133" s="197">
        <f t="shared" si="13"/>
        <v>981.66</v>
      </c>
      <c r="N133" s="19"/>
      <c r="Q133" s="54"/>
      <c r="R133" s="56"/>
    </row>
    <row r="134" spans="4:18" ht="39.950000000000003" customHeight="1" x14ac:dyDescent="0.3">
      <c r="D134" s="368" t="s">
        <v>416</v>
      </c>
      <c r="E134" s="216" t="s">
        <v>110</v>
      </c>
      <c r="F134" s="221" t="s">
        <v>36</v>
      </c>
      <c r="G134" s="218">
        <v>15</v>
      </c>
      <c r="H134" s="202">
        <v>819</v>
      </c>
      <c r="I134" s="197">
        <f t="shared" si="10"/>
        <v>819</v>
      </c>
      <c r="J134" s="196">
        <f t="shared" si="11"/>
        <v>162.66</v>
      </c>
      <c r="K134" s="196">
        <f t="shared" si="12"/>
        <v>0</v>
      </c>
      <c r="L134" s="197">
        <v>0</v>
      </c>
      <c r="M134" s="197">
        <f t="shared" si="13"/>
        <v>981.66</v>
      </c>
      <c r="N134" s="19"/>
      <c r="Q134" s="54"/>
      <c r="R134" s="56"/>
    </row>
    <row r="135" spans="4:18" ht="39.950000000000003" customHeight="1" x14ac:dyDescent="0.3">
      <c r="D135" s="368" t="s">
        <v>417</v>
      </c>
      <c r="E135" s="216" t="s">
        <v>280</v>
      </c>
      <c r="F135" s="221" t="s">
        <v>40</v>
      </c>
      <c r="G135" s="218">
        <v>15</v>
      </c>
      <c r="H135" s="202">
        <v>819</v>
      </c>
      <c r="I135" s="197">
        <f t="shared" si="10"/>
        <v>819</v>
      </c>
      <c r="J135" s="196">
        <f t="shared" si="11"/>
        <v>162.66</v>
      </c>
      <c r="K135" s="196">
        <f t="shared" si="12"/>
        <v>0</v>
      </c>
      <c r="L135" s="197">
        <v>0</v>
      </c>
      <c r="M135" s="197">
        <f t="shared" si="13"/>
        <v>981.66</v>
      </c>
      <c r="N135" s="19"/>
      <c r="Q135" s="54"/>
      <c r="R135" s="56"/>
    </row>
    <row r="136" spans="4:18" ht="39.950000000000003" customHeight="1" x14ac:dyDescent="0.3">
      <c r="D136" s="368" t="s">
        <v>418</v>
      </c>
      <c r="E136" s="216" t="s">
        <v>226</v>
      </c>
      <c r="F136" s="221" t="s">
        <v>36</v>
      </c>
      <c r="G136" s="218">
        <v>15</v>
      </c>
      <c r="H136" s="202">
        <v>819</v>
      </c>
      <c r="I136" s="197">
        <f t="shared" si="10"/>
        <v>819</v>
      </c>
      <c r="J136" s="196">
        <f t="shared" si="11"/>
        <v>162.66</v>
      </c>
      <c r="K136" s="196">
        <f t="shared" si="12"/>
        <v>0</v>
      </c>
      <c r="L136" s="197">
        <v>0</v>
      </c>
      <c r="M136" s="197">
        <f t="shared" si="13"/>
        <v>981.66</v>
      </c>
      <c r="N136" s="19"/>
      <c r="Q136" s="54"/>
      <c r="R136" s="56"/>
    </row>
    <row r="137" spans="4:18" ht="39.950000000000003" customHeight="1" x14ac:dyDescent="0.3">
      <c r="D137" s="368" t="s">
        <v>419</v>
      </c>
      <c r="E137" s="216" t="s">
        <v>232</v>
      </c>
      <c r="F137" s="221" t="s">
        <v>111</v>
      </c>
      <c r="G137" s="218">
        <v>15</v>
      </c>
      <c r="H137" s="202">
        <v>819</v>
      </c>
      <c r="I137" s="197">
        <f t="shared" si="10"/>
        <v>819</v>
      </c>
      <c r="J137" s="196">
        <f t="shared" si="11"/>
        <v>162.66</v>
      </c>
      <c r="K137" s="196">
        <f t="shared" si="12"/>
        <v>0</v>
      </c>
      <c r="L137" s="197">
        <v>0</v>
      </c>
      <c r="M137" s="197">
        <f t="shared" si="13"/>
        <v>981.66</v>
      </c>
      <c r="N137" s="19"/>
      <c r="Q137" s="54"/>
      <c r="R137" s="56"/>
    </row>
    <row r="138" spans="4:18" ht="39.950000000000003" customHeight="1" x14ac:dyDescent="0.3">
      <c r="D138" s="368" t="s">
        <v>420</v>
      </c>
      <c r="E138" s="216" t="s">
        <v>257</v>
      </c>
      <c r="F138" s="217" t="s">
        <v>61</v>
      </c>
      <c r="G138" s="218">
        <v>15</v>
      </c>
      <c r="H138" s="202">
        <v>819</v>
      </c>
      <c r="I138" s="197">
        <f t="shared" si="10"/>
        <v>819</v>
      </c>
      <c r="J138" s="196">
        <f t="shared" si="11"/>
        <v>162.66</v>
      </c>
      <c r="K138" s="196">
        <f t="shared" si="12"/>
        <v>0</v>
      </c>
      <c r="L138" s="197">
        <v>0</v>
      </c>
      <c r="M138" s="197">
        <f t="shared" si="13"/>
        <v>981.66</v>
      </c>
      <c r="N138" s="19"/>
      <c r="Q138" s="54"/>
      <c r="R138" s="56"/>
    </row>
    <row r="139" spans="4:18" ht="39.950000000000003" customHeight="1" x14ac:dyDescent="0.3">
      <c r="D139" s="368" t="s">
        <v>421</v>
      </c>
      <c r="E139" s="216" t="s">
        <v>254</v>
      </c>
      <c r="F139" s="217" t="s">
        <v>138</v>
      </c>
      <c r="G139" s="218">
        <v>15</v>
      </c>
      <c r="H139" s="202">
        <v>819</v>
      </c>
      <c r="I139" s="197">
        <f t="shared" si="10"/>
        <v>819</v>
      </c>
      <c r="J139" s="196">
        <f t="shared" si="11"/>
        <v>162.66</v>
      </c>
      <c r="K139" s="196">
        <f t="shared" si="12"/>
        <v>0</v>
      </c>
      <c r="L139" s="197">
        <v>0</v>
      </c>
      <c r="M139" s="197">
        <f t="shared" si="13"/>
        <v>981.66</v>
      </c>
      <c r="N139" s="19"/>
      <c r="Q139" s="54"/>
      <c r="R139" s="56"/>
    </row>
    <row r="140" spans="4:18" ht="39.950000000000003" customHeight="1" x14ac:dyDescent="0.3">
      <c r="D140" s="368" t="s">
        <v>422</v>
      </c>
      <c r="E140" s="216" t="s">
        <v>279</v>
      </c>
      <c r="F140" s="221" t="s">
        <v>36</v>
      </c>
      <c r="G140" s="218">
        <v>15</v>
      </c>
      <c r="H140" s="202">
        <v>819</v>
      </c>
      <c r="I140" s="197">
        <f t="shared" si="10"/>
        <v>819</v>
      </c>
      <c r="J140" s="196">
        <f t="shared" si="11"/>
        <v>162.66</v>
      </c>
      <c r="K140" s="196">
        <f t="shared" si="12"/>
        <v>0</v>
      </c>
      <c r="L140" s="197">
        <v>0</v>
      </c>
      <c r="M140" s="197">
        <f t="shared" si="13"/>
        <v>981.66</v>
      </c>
      <c r="N140" s="19"/>
      <c r="Q140" s="54"/>
      <c r="R140" s="56"/>
    </row>
    <row r="141" spans="4:18" ht="39.950000000000003" customHeight="1" x14ac:dyDescent="0.3">
      <c r="D141" s="368"/>
      <c r="E141" s="417" t="s">
        <v>464</v>
      </c>
      <c r="F141" s="221"/>
      <c r="G141" s="218"/>
      <c r="H141" s="202"/>
      <c r="I141" s="197"/>
      <c r="J141" s="196"/>
      <c r="K141" s="196"/>
      <c r="L141" s="197"/>
      <c r="M141" s="197"/>
      <c r="N141" s="19"/>
      <c r="Q141" s="54"/>
      <c r="R141" s="56"/>
    </row>
    <row r="142" spans="4:18" ht="39.950000000000003" customHeight="1" x14ac:dyDescent="0.3">
      <c r="D142" s="368" t="s">
        <v>475</v>
      </c>
      <c r="E142" s="216" t="s">
        <v>462</v>
      </c>
      <c r="F142" s="217" t="s">
        <v>463</v>
      </c>
      <c r="G142" s="218">
        <v>15</v>
      </c>
      <c r="H142" s="202">
        <v>3214</v>
      </c>
      <c r="I142" s="197">
        <v>3214</v>
      </c>
      <c r="J142" s="196">
        <f>IFERROR(IF(ROUND((((I142/G142*30.4)-VLOOKUP((I142/G142*30.4),TARIFA,1))*VLOOKUP((I142/G142*30.4),TARIFA,3)+VLOOKUP((I142/G142*30.4),TARIFA,2)-VLOOKUP((I142/G142*30.4),SUBSIDIO,2))/30.4*G142,2)&lt;0,ROUND(-(((I142/G142*30.4)-VLOOKUP((I142/G142*30.4),TARIFA,1))*VLOOKUP((I142/G142*30.4),TARIFA,3)+VLOOKUP((I142/G142*30.4),TARIFA,2)-VLOOKUP((I142/G142*30.4),SUBSIDIO,2))/30.4*G142,2),0),0)</f>
        <v>0</v>
      </c>
      <c r="K142" s="196">
        <f>IFERROR(IF(ROUND((((I142/G142*30.4)-VLOOKUP((I142/G142*30.4),TARIFA,1))*VLOOKUP((I142/G142*30.4),TARIFA,3)+VLOOKUP((I142/G142*30.4),TARIFA,2)-VLOOKUP((I142/G142*30.4),SUBSIDIO,2))/30.4*G142,2)&gt;0,ROUND((((I142/G142*30.4)-VLOOKUP((I142/G142*30.4),TARIFA,1))*VLOOKUP((I142/G142*30.4),TARIFA,3)+VLOOKUP((I142/G142*30.4),TARIFA,2)-VLOOKUP((I142/G142*30.4),SUBSIDIO,2))/30.4*G142,2),0),0)</f>
        <v>89.4</v>
      </c>
      <c r="L142" s="197"/>
      <c r="M142" s="197">
        <f t="shared" si="13"/>
        <v>3124.6</v>
      </c>
      <c r="N142" s="19"/>
      <c r="Q142" s="54"/>
      <c r="R142" s="56"/>
    </row>
    <row r="143" spans="4:18" ht="39.950000000000003" customHeight="1" x14ac:dyDescent="0.3">
      <c r="D143" s="344"/>
      <c r="E143" s="230" t="s">
        <v>493</v>
      </c>
      <c r="F143" s="216"/>
      <c r="G143" s="424"/>
      <c r="H143" s="197"/>
      <c r="I143" s="197"/>
      <c r="J143" s="196"/>
      <c r="K143" s="196"/>
      <c r="L143" s="197"/>
      <c r="M143" s="197"/>
      <c r="N143" s="19"/>
      <c r="Q143" s="54"/>
      <c r="R143" s="56"/>
    </row>
    <row r="144" spans="4:18" ht="39.950000000000003" hidden="1" customHeight="1" x14ac:dyDescent="0.3">
      <c r="D144" s="344"/>
      <c r="E144" s="216"/>
      <c r="F144" s="425"/>
      <c r="G144" s="424"/>
      <c r="H144" s="197"/>
      <c r="I144" s="197"/>
      <c r="J144" s="196"/>
      <c r="K144" s="196"/>
      <c r="L144" s="197"/>
      <c r="M144" s="197"/>
      <c r="N144" s="19"/>
      <c r="Q144" s="54"/>
      <c r="R144" s="56"/>
    </row>
    <row r="145" spans="4:18" ht="39.950000000000003" customHeight="1" x14ac:dyDescent="0.3">
      <c r="D145" s="378" t="s">
        <v>424</v>
      </c>
      <c r="E145" s="420" t="s">
        <v>248</v>
      </c>
      <c r="F145" s="426" t="s">
        <v>494</v>
      </c>
      <c r="G145" s="427">
        <v>15</v>
      </c>
      <c r="H145" s="197">
        <v>2983</v>
      </c>
      <c r="I145" s="197">
        <v>2983</v>
      </c>
      <c r="J145" s="196">
        <f>IFERROR(IF(ROUND((((I145/G145*30.4)-VLOOKUP((I145/G145*30.4),TARIFA,1))*VLOOKUP((I145/G145*30.4),TARIFA,3)+VLOOKUP((I145/G145*30.4),TARIFA,2)-VLOOKUP((I145/G145*30.4),SUBSIDIO,2))/30.4*G145,2)&lt;0,ROUND(-(((I145/G145*30.4)-VLOOKUP((I145/G145*30.4),TARIFA,1))*VLOOKUP((I145/G145*30.4),TARIFA,3)+VLOOKUP((I145/G145*30.4),TARIFA,2)-VLOOKUP((I145/G145*30.4),SUBSIDIO,2))/30.4*G145,2),0),0)</f>
        <v>0</v>
      </c>
      <c r="K145" s="196">
        <f>IFERROR(IF(ROUND((((I145/G145*30.4)-VLOOKUP((I145/G145*30.4),TARIFA,1))*VLOOKUP((I145/G145*30.4),TARIFA,3)+VLOOKUP((I145/G145*30.4),TARIFA,2)-VLOOKUP((I145/G145*30.4),SUBSIDIO,2))/30.4*G145,2)&gt;0,ROUND((((I145/G145*30.4)-VLOOKUP((I145/G145*30.4),TARIFA,1))*VLOOKUP((I145/G145*30.4),TARIFA,3)+VLOOKUP((I145/G145*30.4),TARIFA,2)-VLOOKUP((I145/G145*30.4),SUBSIDIO,2))/30.4*G145,2),0),0)</f>
        <v>43.99</v>
      </c>
      <c r="L145" s="197"/>
      <c r="M145" s="197">
        <f t="shared" si="13"/>
        <v>2939.01</v>
      </c>
      <c r="N145" s="19"/>
      <c r="Q145" s="54"/>
      <c r="R145" s="56"/>
    </row>
    <row r="146" spans="4:18" ht="39.950000000000003" hidden="1" customHeight="1" x14ac:dyDescent="0.3">
      <c r="D146" s="338"/>
      <c r="E146" s="428"/>
      <c r="F146" s="429"/>
      <c r="G146" s="429"/>
      <c r="H146" s="430"/>
      <c r="I146" s="430"/>
      <c r="J146" s="431"/>
      <c r="K146" s="431"/>
      <c r="L146" s="429"/>
      <c r="M146" s="429"/>
      <c r="N146" s="19"/>
      <c r="Q146" s="54"/>
      <c r="R146" s="56"/>
    </row>
    <row r="147" spans="4:18" ht="39.950000000000003" hidden="1" customHeight="1" x14ac:dyDescent="0.3">
      <c r="D147" s="379"/>
      <c r="E147" s="432"/>
      <c r="F147" s="433"/>
      <c r="G147" s="434"/>
      <c r="H147" s="202"/>
      <c r="I147" s="197"/>
      <c r="J147" s="388"/>
      <c r="K147" s="388"/>
      <c r="L147" s="208">
        <v>0</v>
      </c>
      <c r="M147" s="208"/>
      <c r="N147" s="19"/>
      <c r="Q147" s="54"/>
      <c r="R147" s="56"/>
    </row>
    <row r="148" spans="4:18" ht="39.950000000000003" customHeight="1" x14ac:dyDescent="0.3">
      <c r="D148" s="344"/>
      <c r="E148" s="230" t="s">
        <v>21</v>
      </c>
      <c r="F148" s="216"/>
      <c r="G148" s="424"/>
      <c r="H148" s="197"/>
      <c r="I148" s="197"/>
      <c r="J148" s="196"/>
      <c r="K148" s="196"/>
      <c r="L148" s="197"/>
      <c r="M148" s="197"/>
      <c r="N148" s="19"/>
      <c r="Q148" s="54"/>
      <c r="R148" s="56"/>
    </row>
    <row r="149" spans="4:18" ht="39.950000000000003" customHeight="1" x14ac:dyDescent="0.3">
      <c r="D149" s="344" t="s">
        <v>425</v>
      </c>
      <c r="E149" s="216" t="s">
        <v>205</v>
      </c>
      <c r="F149" s="435" t="s">
        <v>180</v>
      </c>
      <c r="G149" s="424">
        <v>15</v>
      </c>
      <c r="H149" s="197">
        <v>3908</v>
      </c>
      <c r="I149" s="197">
        <v>3908</v>
      </c>
      <c r="J149" s="196">
        <f>IFERROR(IF(ROUND((((I149/G149*30.4)-VLOOKUP((I149/G149*30.4),TARIFA,1))*VLOOKUP((I149/G149*30.4),TARIFA,3)+VLOOKUP((I149/G149*30.4),TARIFA,2)-VLOOKUP((I149/G149*30.4),SUBSIDIO,2))/30.4*G149,2)&lt;0,ROUND(-(((I149/G149*30.4)-VLOOKUP((I149/G149*30.4),TARIFA,1))*VLOOKUP((I149/G149*30.4),TARIFA,3)+VLOOKUP((I149/G149*30.4),TARIFA,2)-VLOOKUP((I149/G149*30.4),SUBSIDIO,2))/30.4*G149,2),0),0)</f>
        <v>0</v>
      </c>
      <c r="K149" s="196">
        <f>IFERROR(IF(ROUND((((I149/G149*30.4)-VLOOKUP((I149/G149*30.4),TARIFA,1))*VLOOKUP((I149/G149*30.4),TARIFA,3)+VLOOKUP((I149/G149*30.4),TARIFA,2)-VLOOKUP((I149/G149*30.4),SUBSIDIO,2))/30.4*G149,2)&gt;0,ROUND((((I149/G149*30.4)-VLOOKUP((I149/G149*30.4),TARIFA,1))*VLOOKUP((I149/G149*30.4),TARIFA,3)+VLOOKUP((I149/G149*30.4),TARIFA,2)-VLOOKUP((I149/G149*30.4),SUBSIDIO,2))/30.4*G149,2),0),0)</f>
        <v>290</v>
      </c>
      <c r="L149" s="197">
        <v>0</v>
      </c>
      <c r="M149" s="197">
        <f t="shared" si="13"/>
        <v>3618</v>
      </c>
      <c r="N149" s="19"/>
      <c r="Q149" s="54"/>
      <c r="R149" s="56"/>
    </row>
    <row r="150" spans="4:18" ht="39.950000000000003" customHeight="1" x14ac:dyDescent="0.3">
      <c r="D150" s="368"/>
      <c r="E150" s="417" t="s">
        <v>93</v>
      </c>
      <c r="F150" s="221"/>
      <c r="G150" s="218"/>
      <c r="H150" s="202"/>
      <c r="I150" s="197"/>
      <c r="J150" s="196"/>
      <c r="K150" s="196"/>
      <c r="L150" s="197"/>
      <c r="M150" s="197"/>
      <c r="N150" s="19"/>
      <c r="Q150" s="54"/>
      <c r="R150" s="56"/>
    </row>
    <row r="151" spans="4:18" ht="39.950000000000003" customHeight="1" x14ac:dyDescent="0.3">
      <c r="D151" s="368" t="s">
        <v>426</v>
      </c>
      <c r="E151" s="216" t="s">
        <v>263</v>
      </c>
      <c r="F151" s="217" t="s">
        <v>264</v>
      </c>
      <c r="G151" s="218">
        <v>15</v>
      </c>
      <c r="H151" s="202">
        <v>2097</v>
      </c>
      <c r="I151" s="197">
        <v>2097</v>
      </c>
      <c r="J151" s="196">
        <f>IFERROR(IF(ROUND((((I151/G151*30.4)-VLOOKUP((I151/G151*30.4),TARIFA,1))*VLOOKUP((I151/G151*30.4),TARIFA,3)+VLOOKUP((I151/G151*30.4),TARIFA,2)-VLOOKUP((I151/G151*30.4),SUBSIDIO,2))/30.4*G151,2)&lt;0,ROUND(-(((I151/G151*30.4)-VLOOKUP((I151/G151*30.4),TARIFA,1))*VLOOKUP((I151/G151*30.4),TARIFA,3)+VLOOKUP((I151/G151*30.4),TARIFA,2)-VLOOKUP((I151/G151*30.4),SUBSIDIO,2))/30.4*G151,2),0),0)</f>
        <v>68.75</v>
      </c>
      <c r="K151" s="196">
        <f>IFERROR(IF(ROUND((((I151/G151*30.4)-VLOOKUP((I151/G151*30.4),TARIFA,1))*VLOOKUP((I151/G151*30.4),TARIFA,3)+VLOOKUP((I151/G151*30.4),TARIFA,2)-VLOOKUP((I151/G151*30.4),SUBSIDIO,2))/30.4*G151,2)&gt;0,ROUND((((I151/G151*30.4)-VLOOKUP((I151/G151*30.4),TARIFA,1))*VLOOKUP((I151/G151*30.4),TARIFA,3)+VLOOKUP((I151/G151*30.4),TARIFA,2)-VLOOKUP((I151/G151*30.4),SUBSIDIO,2))/30.4*G151,2),0),0)</f>
        <v>0</v>
      </c>
      <c r="L151" s="197"/>
      <c r="M151" s="197">
        <f t="shared" si="13"/>
        <v>2165.75</v>
      </c>
      <c r="N151" s="19"/>
      <c r="Q151" s="54"/>
      <c r="R151" s="56"/>
    </row>
    <row r="152" spans="4:18" ht="39.950000000000003" customHeight="1" x14ac:dyDescent="0.3">
      <c r="D152" s="368" t="s">
        <v>427</v>
      </c>
      <c r="E152" s="221" t="s">
        <v>137</v>
      </c>
      <c r="F152" s="221" t="s">
        <v>18</v>
      </c>
      <c r="G152" s="218">
        <v>15</v>
      </c>
      <c r="H152" s="202">
        <v>1981</v>
      </c>
      <c r="I152" s="197">
        <v>1981</v>
      </c>
      <c r="J152" s="196">
        <f>IFERROR(IF(ROUND((((I152/G152*30.4)-VLOOKUP((I152/G152*30.4),TARIFA,1))*VLOOKUP((I152/G152*30.4),TARIFA,3)+VLOOKUP((I152/G152*30.4),TARIFA,2)-VLOOKUP((I152/G152*30.4),SUBSIDIO,2))/30.4*G152,2)&lt;0,ROUND(-(((I152/G152*30.4)-VLOOKUP((I152/G152*30.4),TARIFA,1))*VLOOKUP((I152/G152*30.4),TARIFA,3)+VLOOKUP((I152/G152*30.4),TARIFA,2)-VLOOKUP((I152/G152*30.4),SUBSIDIO,2))/30.4*G152,2),0),0)</f>
        <v>76.180000000000007</v>
      </c>
      <c r="K152" s="196">
        <f>IFERROR(IF(ROUND((((I152/G152*30.4)-VLOOKUP((I152/G152*30.4),TARIFA,1))*VLOOKUP((I152/G152*30.4),TARIFA,3)+VLOOKUP((I152/G152*30.4),TARIFA,2)-VLOOKUP((I152/G152*30.4),SUBSIDIO,2))/30.4*G152,2)&gt;0,ROUND((((I152/G152*30.4)-VLOOKUP((I152/G152*30.4),TARIFA,1))*VLOOKUP((I152/G152*30.4),TARIFA,3)+VLOOKUP((I152/G152*30.4),TARIFA,2)-VLOOKUP((I152/G152*30.4),SUBSIDIO,2))/30.4*G152,2),0),0)</f>
        <v>0</v>
      </c>
      <c r="L152" s="197">
        <v>0</v>
      </c>
      <c r="M152" s="197">
        <f t="shared" si="13"/>
        <v>2057.1799999999998</v>
      </c>
      <c r="N152" s="19"/>
      <c r="Q152" s="54"/>
      <c r="R152" s="56"/>
    </row>
    <row r="153" spans="4:18" ht="39.950000000000003" customHeight="1" x14ac:dyDescent="0.3">
      <c r="D153" s="368"/>
      <c r="E153" s="417" t="s">
        <v>182</v>
      </c>
      <c r="F153" s="221"/>
      <c r="G153" s="218"/>
      <c r="H153" s="202"/>
      <c r="I153" s="197"/>
      <c r="J153" s="196"/>
      <c r="K153" s="196"/>
      <c r="L153" s="197"/>
      <c r="M153" s="197"/>
      <c r="N153" s="19"/>
      <c r="Q153" s="54"/>
      <c r="R153" s="56"/>
    </row>
    <row r="154" spans="4:18" ht="39.950000000000003" customHeight="1" x14ac:dyDescent="0.3">
      <c r="D154" s="368" t="s">
        <v>428</v>
      </c>
      <c r="E154" s="221" t="s">
        <v>222</v>
      </c>
      <c r="F154" s="217" t="s">
        <v>183</v>
      </c>
      <c r="G154" s="218">
        <v>15</v>
      </c>
      <c r="H154" s="197">
        <v>3795</v>
      </c>
      <c r="I154" s="197">
        <v>3795</v>
      </c>
      <c r="J154" s="196">
        <f>IFERROR(IF(ROUND((((I154/G154*30.4)-VLOOKUP((I154/G154*30.4),TARIFA,1))*VLOOKUP((I154/G154*30.4),TARIFA,3)+VLOOKUP((I154/G154*30.4),TARIFA,2)-VLOOKUP((I154/G154*30.4),SUBSIDIO,2))/30.4*G154,2)&lt;0,ROUND(-(((I154/G154*30.4)-VLOOKUP((I154/G154*30.4),TARIFA,1))*VLOOKUP((I154/G154*30.4),TARIFA,3)+VLOOKUP((I154/G154*30.4),TARIFA,2)-VLOOKUP((I154/G154*30.4),SUBSIDIO,2))/30.4*G154,2),0),0)</f>
        <v>0</v>
      </c>
      <c r="K154" s="196">
        <f>IFERROR(IF(ROUND((((I154/G154*30.4)-VLOOKUP((I154/G154*30.4),TARIFA,1))*VLOOKUP((I154/G154*30.4),TARIFA,3)+VLOOKUP((I154/G154*30.4),TARIFA,2)-VLOOKUP((I154/G154*30.4),SUBSIDIO,2))/30.4*G154,2)&gt;0,ROUND((((I154/G154*30.4)-VLOOKUP((I154/G154*30.4),TARIFA,1))*VLOOKUP((I154/G154*30.4),TARIFA,3)+VLOOKUP((I154/G154*30.4),TARIFA,2)-VLOOKUP((I154/G154*30.4),SUBSIDIO,2))/30.4*G154,2),0),0)</f>
        <v>277.70999999999998</v>
      </c>
      <c r="L154" s="197">
        <v>0</v>
      </c>
      <c r="M154" s="197">
        <f t="shared" si="13"/>
        <v>3517.29</v>
      </c>
      <c r="N154" s="19"/>
      <c r="Q154" s="54"/>
      <c r="R154" s="56"/>
    </row>
    <row r="155" spans="4:18" ht="39.950000000000003" customHeight="1" thickBot="1" x14ac:dyDescent="0.35">
      <c r="D155" s="380"/>
      <c r="E155" s="166"/>
      <c r="F155" s="167"/>
      <c r="G155" s="168" t="s">
        <v>6</v>
      </c>
      <c r="H155" s="169">
        <f>H157+H115+H79+H43</f>
        <v>182570</v>
      </c>
      <c r="I155" s="169">
        <f>I157+I115+I79+I43</f>
        <v>175686</v>
      </c>
      <c r="J155" s="393">
        <f>J157+J115+J79+J43</f>
        <v>2897.1400000000003</v>
      </c>
      <c r="K155" s="393">
        <f>K157+K115+K79+K43</f>
        <v>4612.95</v>
      </c>
      <c r="L155" s="169" t="e">
        <f>L154+L152+#REF!+L151+L149+L147+L145+L144+L142+L140+L139+L138+L137+L136+L135+L134+L133+L132+L131+L129+L100+#REF!+L99+L93+L91+L89+L78+L76+L75+L73+L72+L71+L70+L69+L68+L67+L66+L65+L64+L63+L62+L61+L60+L59+L58+L57+L56+L55+L54+L53+L40+L35+L34+L32+L31+L30+L27+L25+L24+L23+L22+L20+L19+#REF!+L16+L14+L13+L12</f>
        <v>#REF!</v>
      </c>
      <c r="M155" s="169">
        <f>M167+M115+M79+M43</f>
        <v>173970.19000000003</v>
      </c>
      <c r="N155" s="3"/>
      <c r="Q155" s="56"/>
      <c r="R155" s="56"/>
    </row>
    <row r="156" spans="4:18" ht="13.5" thickTop="1" x14ac:dyDescent="0.2">
      <c r="H156" s="254"/>
      <c r="I156" s="254"/>
      <c r="J156" s="394"/>
      <c r="K156" s="394"/>
      <c r="M156" s="11"/>
    </row>
    <row r="157" spans="4:18" x14ac:dyDescent="0.2">
      <c r="F157" s="2"/>
      <c r="G157" s="2"/>
      <c r="H157" s="251">
        <f>SUM(H129:H154)</f>
        <v>28449</v>
      </c>
      <c r="I157" s="252">
        <f>SUM(I129:I154)</f>
        <v>28449</v>
      </c>
      <c r="J157" s="395">
        <f>SUM(J129:J154)</f>
        <v>1814.5800000000002</v>
      </c>
      <c r="K157" s="395">
        <f>SUM(K128:K154)</f>
        <v>701.09999999999991</v>
      </c>
      <c r="L157" s="233"/>
      <c r="M157" s="232">
        <f>SUM(M129:M154)</f>
        <v>29562.480000000003</v>
      </c>
    </row>
    <row r="158" spans="4:18" x14ac:dyDescent="0.2">
      <c r="F158" s="2"/>
      <c r="G158" s="2"/>
      <c r="H158" s="251">
        <f>H157+H115+H79+H43</f>
        <v>182570</v>
      </c>
      <c r="I158" s="252">
        <f>I157+I115+I79+I43</f>
        <v>175686</v>
      </c>
      <c r="J158" s="395">
        <f>J157+J115+J79+J43</f>
        <v>2897.1400000000003</v>
      </c>
      <c r="K158" s="395">
        <f>K157+K115+K79+K43</f>
        <v>4612.95</v>
      </c>
      <c r="L158" s="233"/>
      <c r="M158" s="232"/>
      <c r="N158" s="11"/>
    </row>
    <row r="159" spans="4:18" x14ac:dyDescent="0.2">
      <c r="F159" s="2"/>
      <c r="G159" s="2"/>
      <c r="H159" s="253"/>
      <c r="I159" s="253"/>
      <c r="J159" s="395">
        <f>J157+J115+J79+J43</f>
        <v>2897.1400000000003</v>
      </c>
      <c r="K159" s="395">
        <f>K157+K115+K79+K43</f>
        <v>4612.95</v>
      </c>
      <c r="L159" s="233"/>
      <c r="M159" s="233"/>
    </row>
    <row r="160" spans="4:18" x14ac:dyDescent="0.2">
      <c r="E160" s="1" t="s">
        <v>120</v>
      </c>
      <c r="F160" s="2"/>
      <c r="G160" s="2"/>
      <c r="H160" s="252"/>
      <c r="I160" s="255"/>
      <c r="J160" s="395"/>
      <c r="K160" s="395"/>
      <c r="M160" s="61"/>
      <c r="N160" s="61"/>
    </row>
    <row r="161" spans="4:14" ht="14.25" x14ac:dyDescent="0.2">
      <c r="E161" s="39" t="s">
        <v>484</v>
      </c>
      <c r="F161" s="29"/>
      <c r="G161" s="29"/>
      <c r="H161" s="245"/>
      <c r="I161" s="245"/>
      <c r="J161" s="396"/>
      <c r="K161" s="396"/>
      <c r="L161" s="15"/>
      <c r="M161" s="506" t="s">
        <v>193</v>
      </c>
      <c r="N161" s="506"/>
    </row>
    <row r="162" spans="4:14" ht="15" x14ac:dyDescent="0.25">
      <c r="E162" s="40" t="s">
        <v>11</v>
      </c>
      <c r="F162" s="30"/>
      <c r="G162" s="30"/>
      <c r="H162" s="245"/>
      <c r="I162" s="245"/>
      <c r="J162" s="396"/>
      <c r="K162" s="396"/>
      <c r="L162" s="30"/>
      <c r="M162" s="505" t="s">
        <v>166</v>
      </c>
      <c r="N162" s="505"/>
    </row>
    <row r="163" spans="4:14" s="15" customFormat="1" x14ac:dyDescent="0.2">
      <c r="D163" s="349"/>
      <c r="E163" s="1"/>
      <c r="F163" s="1"/>
      <c r="G163" s="2"/>
      <c r="H163" s="7"/>
      <c r="I163" s="7"/>
      <c r="J163" s="397"/>
      <c r="K163" s="397"/>
      <c r="L163" s="1"/>
      <c r="M163" s="1"/>
      <c r="N163" s="1"/>
    </row>
    <row r="164" spans="4:14" s="15" customFormat="1" x14ac:dyDescent="0.2">
      <c r="D164" s="349"/>
      <c r="E164" s="32"/>
      <c r="F164" s="30"/>
      <c r="G164" s="30"/>
      <c r="H164" s="30"/>
      <c r="I164" s="30"/>
      <c r="J164" s="361"/>
      <c r="K164" s="361"/>
      <c r="L164" s="30"/>
      <c r="M164" s="231"/>
      <c r="N164" s="30"/>
    </row>
    <row r="165" spans="4:14" x14ac:dyDescent="0.2">
      <c r="G165" s="2"/>
      <c r="H165" s="2"/>
      <c r="I165" s="2"/>
      <c r="J165" s="398"/>
      <c r="K165" s="398"/>
      <c r="M165" s="56"/>
    </row>
    <row r="166" spans="4:14" x14ac:dyDescent="0.2">
      <c r="H166" s="2"/>
      <c r="I166" s="244"/>
      <c r="J166" s="398"/>
      <c r="K166" s="398"/>
      <c r="M166" s="56"/>
    </row>
    <row r="167" spans="4:14" x14ac:dyDescent="0.2">
      <c r="H167" s="2"/>
      <c r="I167" s="2"/>
      <c r="J167" s="398"/>
      <c r="K167" s="398"/>
      <c r="M167" s="11">
        <f>SUM(M129:M154)</f>
        <v>29562.480000000003</v>
      </c>
    </row>
    <row r="168" spans="4:14" x14ac:dyDescent="0.2">
      <c r="H168" s="2"/>
      <c r="I168" s="2"/>
      <c r="J168" s="398"/>
      <c r="K168" s="398"/>
    </row>
    <row r="170" spans="4:14" x14ac:dyDescent="0.2">
      <c r="K170" s="54">
        <f>M167+M115+M79+M43</f>
        <v>173970.19000000003</v>
      </c>
      <c r="M170" s="11"/>
    </row>
    <row r="171" spans="4:14" x14ac:dyDescent="0.2">
      <c r="M171" s="11"/>
    </row>
    <row r="174" spans="4:14" x14ac:dyDescent="0.2">
      <c r="M174" s="11"/>
    </row>
    <row r="176" spans="4:14" x14ac:dyDescent="0.2">
      <c r="M176" s="56"/>
    </row>
  </sheetData>
  <sheetProtection selectLockedCells="1" selectUnlockedCells="1"/>
  <mergeCells count="26">
    <mergeCell ref="M162:N162"/>
    <mergeCell ref="H48:J48"/>
    <mergeCell ref="D120:N120"/>
    <mergeCell ref="H124:J124"/>
    <mergeCell ref="M161:N161"/>
    <mergeCell ref="D83:N83"/>
    <mergeCell ref="H84:J84"/>
    <mergeCell ref="D123:N123"/>
    <mergeCell ref="D80:N80"/>
    <mergeCell ref="D121:N121"/>
    <mergeCell ref="D122:N122"/>
    <mergeCell ref="D81:N81"/>
    <mergeCell ref="D124:D127"/>
    <mergeCell ref="D82:N82"/>
    <mergeCell ref="D48:D51"/>
    <mergeCell ref="D84:D87"/>
    <mergeCell ref="D44:N44"/>
    <mergeCell ref="D45:N45"/>
    <mergeCell ref="D46:N46"/>
    <mergeCell ref="D47:N47"/>
    <mergeCell ref="D3:N3"/>
    <mergeCell ref="D5:N5"/>
    <mergeCell ref="H7:J7"/>
    <mergeCell ref="D6:N6"/>
    <mergeCell ref="D7:D10"/>
    <mergeCell ref="D4:N4"/>
  </mergeCells>
  <phoneticPr fontId="0" type="noConversion"/>
  <pageMargins left="0" right="0" top="0" bottom="0" header="0.15748031496062992" footer="0.31496062992125984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R83"/>
  <sheetViews>
    <sheetView zoomScale="82" zoomScaleNormal="82" workbookViewId="0">
      <selection activeCell="E1" sqref="E1:E1048576"/>
    </sheetView>
  </sheetViews>
  <sheetFormatPr baseColWidth="10" defaultRowHeight="12.75" x14ac:dyDescent="0.2"/>
  <cols>
    <col min="1" max="1" width="4.7109375" style="15" customWidth="1"/>
    <col min="2" max="3" width="5.140625" style="15" customWidth="1"/>
    <col min="4" max="4" width="4.5703125" style="349" customWidth="1"/>
    <col min="5" max="5" width="48.42578125" style="15" customWidth="1"/>
    <col min="6" max="6" width="33.5703125" style="15" customWidth="1"/>
    <col min="7" max="7" width="5.85546875" style="15" customWidth="1"/>
    <col min="8" max="9" width="14.42578125" style="15" bestFit="1" customWidth="1"/>
    <col min="10" max="10" width="13.85546875" style="15" bestFit="1" customWidth="1"/>
    <col min="11" max="11" width="13" style="15" bestFit="1" customWidth="1"/>
    <col min="12" max="12" width="15.42578125" style="15" customWidth="1"/>
    <col min="13" max="13" width="58.85546875" style="15" customWidth="1"/>
    <col min="14" max="14" width="5.7109375" style="15" customWidth="1"/>
    <col min="15" max="15" width="11.42578125" style="15"/>
    <col min="16" max="16" width="12.85546875" style="15" bestFit="1" customWidth="1"/>
    <col min="17" max="16384" width="11.42578125" style="15"/>
  </cols>
  <sheetData>
    <row r="1" spans="2:18" ht="5.25" customHeight="1" x14ac:dyDescent="0.2">
      <c r="B1" s="35"/>
      <c r="C1" s="35"/>
      <c r="D1" s="399"/>
      <c r="E1" s="35"/>
      <c r="F1" s="35"/>
      <c r="G1" s="35"/>
      <c r="H1" s="35"/>
      <c r="I1" s="35"/>
      <c r="J1" s="35"/>
      <c r="K1" s="35"/>
      <c r="L1" s="35"/>
      <c r="M1" s="35"/>
    </row>
    <row r="2" spans="2:18" ht="15.75" customHeight="1" x14ac:dyDescent="0.2">
      <c r="B2" s="35"/>
      <c r="C2" s="35"/>
      <c r="D2" s="400"/>
      <c r="E2" s="48"/>
      <c r="F2" s="48"/>
      <c r="G2" s="48"/>
      <c r="H2" s="48"/>
      <c r="I2" s="48"/>
      <c r="J2" s="48"/>
      <c r="K2" s="48"/>
      <c r="L2" s="48"/>
      <c r="M2" s="49"/>
    </row>
    <row r="3" spans="2:18" ht="20.100000000000001" customHeight="1" x14ac:dyDescent="0.5">
      <c r="B3" s="35"/>
      <c r="C3" s="35"/>
      <c r="D3" s="507" t="s">
        <v>12</v>
      </c>
      <c r="E3" s="508"/>
      <c r="F3" s="508"/>
      <c r="G3" s="508"/>
      <c r="H3" s="508"/>
      <c r="I3" s="508"/>
      <c r="J3" s="508"/>
      <c r="K3" s="508"/>
      <c r="L3" s="508"/>
      <c r="M3" s="509"/>
    </row>
    <row r="4" spans="2:18" ht="20.100000000000001" customHeight="1" x14ac:dyDescent="0.5">
      <c r="B4" s="35"/>
      <c r="C4" s="35"/>
      <c r="D4" s="507" t="s">
        <v>167</v>
      </c>
      <c r="E4" s="508"/>
      <c r="F4" s="508"/>
      <c r="G4" s="508"/>
      <c r="H4" s="508"/>
      <c r="I4" s="508"/>
      <c r="J4" s="508"/>
      <c r="K4" s="508"/>
      <c r="L4" s="508"/>
      <c r="M4" s="509"/>
    </row>
    <row r="5" spans="2:18" ht="20.100000000000001" customHeight="1" x14ac:dyDescent="0.5">
      <c r="B5" s="35"/>
      <c r="C5" s="35"/>
      <c r="D5" s="507" t="s">
        <v>491</v>
      </c>
      <c r="E5" s="508"/>
      <c r="F5" s="508"/>
      <c r="G5" s="508"/>
      <c r="H5" s="508"/>
      <c r="I5" s="508"/>
      <c r="J5" s="508"/>
      <c r="K5" s="508"/>
      <c r="L5" s="508"/>
      <c r="M5" s="509"/>
    </row>
    <row r="6" spans="2:18" ht="21.75" customHeight="1" x14ac:dyDescent="0.5">
      <c r="B6" s="35"/>
      <c r="C6" s="35"/>
      <c r="D6" s="507" t="s">
        <v>152</v>
      </c>
      <c r="E6" s="508"/>
      <c r="F6" s="508"/>
      <c r="G6" s="508"/>
      <c r="H6" s="508"/>
      <c r="I6" s="508"/>
      <c r="J6" s="508"/>
      <c r="K6" s="508"/>
      <c r="L6" s="508"/>
      <c r="M6" s="509"/>
    </row>
    <row r="7" spans="2:18" x14ac:dyDescent="0.2">
      <c r="D7" s="334"/>
      <c r="E7" s="115"/>
      <c r="F7" s="115"/>
      <c r="G7" s="134"/>
      <c r="H7" s="116"/>
      <c r="I7" s="510"/>
      <c r="J7" s="511"/>
      <c r="K7" s="511"/>
      <c r="L7" s="511"/>
      <c r="M7" s="512"/>
    </row>
    <row r="8" spans="2:18" x14ac:dyDescent="0.2">
      <c r="D8" s="335" t="s">
        <v>3</v>
      </c>
      <c r="E8" s="117"/>
      <c r="F8" s="117"/>
      <c r="G8" s="117"/>
      <c r="H8" s="118" t="s">
        <v>1</v>
      </c>
      <c r="I8" s="119" t="s">
        <v>153</v>
      </c>
      <c r="J8" s="119" t="s">
        <v>157</v>
      </c>
      <c r="K8" s="119"/>
      <c r="L8" s="117" t="s">
        <v>163</v>
      </c>
      <c r="M8" s="117"/>
    </row>
    <row r="9" spans="2:18" ht="24" x14ac:dyDescent="0.2">
      <c r="D9" s="336"/>
      <c r="E9" s="118"/>
      <c r="F9" s="118" t="s">
        <v>10</v>
      </c>
      <c r="G9" s="135" t="s">
        <v>230</v>
      </c>
      <c r="H9" s="117" t="s">
        <v>155</v>
      </c>
      <c r="I9" s="118" t="s">
        <v>156</v>
      </c>
      <c r="J9" s="118" t="s">
        <v>158</v>
      </c>
      <c r="K9" s="118" t="s">
        <v>159</v>
      </c>
      <c r="L9" s="117" t="s">
        <v>162</v>
      </c>
      <c r="M9" s="117" t="s">
        <v>161</v>
      </c>
    </row>
    <row r="10" spans="2:18" x14ac:dyDescent="0.2">
      <c r="D10" s="335"/>
      <c r="E10" s="119" t="s">
        <v>62</v>
      </c>
      <c r="F10" s="119" t="s">
        <v>9</v>
      </c>
      <c r="G10" s="119"/>
      <c r="H10" s="119"/>
      <c r="I10" s="119"/>
      <c r="J10" s="119"/>
      <c r="K10" s="119"/>
      <c r="L10" s="119"/>
      <c r="M10" s="119"/>
    </row>
    <row r="11" spans="2:18" ht="27.95" customHeight="1" x14ac:dyDescent="0.25">
      <c r="D11" s="401" t="s">
        <v>429</v>
      </c>
      <c r="E11" s="170" t="s">
        <v>62</v>
      </c>
      <c r="F11" s="171" t="s">
        <v>63</v>
      </c>
      <c r="G11" s="171">
        <v>15</v>
      </c>
      <c r="H11" s="173">
        <v>8368</v>
      </c>
      <c r="I11" s="173">
        <f>H11</f>
        <v>8368</v>
      </c>
      <c r="J11" s="408">
        <f t="shared" ref="J11:J21" si="0">IFERROR(IF(ROUND((((I11/G11*30.4)-VLOOKUP((I11/G11*30.4),TARIFA,1))*VLOOKUP((I11/G11*30.4),TARIFA,3)+VLOOKUP((I11/G11*30.4),TARIFA,2)-VLOOKUP((I11/G11*30.4),SUBSIDIO,2))/30.4*G11,2)&lt;0,ROUND(-(((I11/G11*30.4)-VLOOKUP((I11/G11*30.4),TARIFA,1))*VLOOKUP((I11/G11*30.4),TARIFA,3)+VLOOKUP((I11/G11*30.4),TARIFA,2)-VLOOKUP((I11/G11*30.4),SUBSIDIO,2))/30.4*G11,2),0),0)</f>
        <v>0</v>
      </c>
      <c r="K11" s="408">
        <f>IFERROR(IF(ROUND((((I11/G11*30.4)-VLOOKUP((I11/G11*30.4),TARIFA,1))*VLOOKUP((I11/G11*30.4),TARIFA,3)+VLOOKUP((I11/G11*30.4),TARIFA,2)-VLOOKUP((I11/G11*30.4),SUBSIDIO,2))/30.4*G11,2)&gt;0,ROUND((((I11/G11*30.4)-VLOOKUP((I11/G11*30.4),TARIFA,1))*VLOOKUP((I11/G11*30.4),TARIFA,3)+VLOOKUP((I11/G11*30.4),TARIFA,2)-VLOOKUP((I11/G11*30.4),SUBSIDIO,2))/30.4*G11,2),0),0)</f>
        <v>1076.3</v>
      </c>
      <c r="L11" s="141">
        <f>I11+J11-K11</f>
        <v>7291.7</v>
      </c>
      <c r="M11" s="173"/>
      <c r="P11" s="51">
        <v>13600</v>
      </c>
      <c r="Q11" s="52">
        <f>P11/2</f>
        <v>6800</v>
      </c>
      <c r="R11" s="15">
        <f>L11/15</f>
        <v>486.11333333333334</v>
      </c>
    </row>
    <row r="12" spans="2:18" ht="27.95" customHeight="1" x14ac:dyDescent="0.25">
      <c r="D12" s="339" t="s">
        <v>430</v>
      </c>
      <c r="E12" s="170" t="s">
        <v>62</v>
      </c>
      <c r="F12" s="178" t="s">
        <v>194</v>
      </c>
      <c r="G12" s="174">
        <v>15</v>
      </c>
      <c r="H12" s="173">
        <v>5156</v>
      </c>
      <c r="I12" s="173">
        <v>5156</v>
      </c>
      <c r="J12" s="408">
        <f t="shared" si="0"/>
        <v>0</v>
      </c>
      <c r="K12" s="408">
        <f>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</f>
        <v>446.88</v>
      </c>
      <c r="L12" s="141">
        <f t="shared" ref="L12:L35" si="1">I12+J12-K12</f>
        <v>4709.12</v>
      </c>
      <c r="M12" s="173"/>
      <c r="P12" s="51"/>
      <c r="Q12" s="52"/>
    </row>
    <row r="13" spans="2:18" ht="27.95" customHeight="1" x14ac:dyDescent="0.25">
      <c r="D13" s="339" t="s">
        <v>443</v>
      </c>
      <c r="E13" s="170" t="s">
        <v>62</v>
      </c>
      <c r="F13" s="174" t="s">
        <v>194</v>
      </c>
      <c r="G13" s="174">
        <v>10</v>
      </c>
      <c r="H13" s="173">
        <v>5156</v>
      </c>
      <c r="I13" s="173">
        <v>3437.33</v>
      </c>
      <c r="J13" s="408">
        <v>0</v>
      </c>
      <c r="K13" s="408">
        <f>IFERROR(IF(ROUND((((I13/G13*30.4)-VLOOKUP((I13/G13*30.4),TARIFA,1))*VLOOKUP((I13/G13*30.4),TARIFA,3)+VLOOKUP((I13/G13*30.4),TARIFA,2)-VLOOKUP((I13/G13*30.4),SUBSIDIO,2))/30.4*G13,2)&gt;0,ROUND((((I13/G13*30.4)-VLOOKUP((I13/G13*30.4),TARIFA,1))*VLOOKUP((I13/G13*30.4),TARIFA,3)+VLOOKUP((I13/G13*30.4),TARIFA,2)-VLOOKUP((I13/G13*30.4),SUBSIDIO,2))/30.4*G13,2),0),0)</f>
        <v>297.92</v>
      </c>
      <c r="L13" s="141">
        <f t="shared" si="1"/>
        <v>3139.41</v>
      </c>
      <c r="M13" s="173"/>
      <c r="P13" s="51"/>
      <c r="Q13" s="52"/>
    </row>
    <row r="14" spans="2:18" ht="27.95" customHeight="1" x14ac:dyDescent="0.25">
      <c r="D14" s="339" t="s">
        <v>459</v>
      </c>
      <c r="E14" s="170" t="s">
        <v>62</v>
      </c>
      <c r="F14" s="174" t="s">
        <v>64</v>
      </c>
      <c r="G14" s="171">
        <v>10</v>
      </c>
      <c r="H14" s="173">
        <v>4760</v>
      </c>
      <c r="I14" s="173">
        <v>3173.33</v>
      </c>
      <c r="J14" s="408">
        <f t="shared" si="0"/>
        <v>0</v>
      </c>
      <c r="K14" s="408">
        <f t="shared" ref="K14:K21" si="2">IFERROR(IF(ROUND((((I14/G14*30.4)-VLOOKUP((I14/G14*30.4),TARIFA,1))*VLOOKUP((I14/G14*30.4),TARIFA,3)+VLOOKUP((I14/G14*30.4),TARIFA,2)-VLOOKUP((I14/G14*30.4),SUBSIDIO,2))/30.4*G14,2)&gt;0,ROUND((((I14/G14*30.4)-VLOOKUP((I14/G14*30.4),TARIFA,1))*VLOOKUP((I14/G14*30.4),TARIFA,3)+VLOOKUP((I14/G14*30.4),TARIFA,2)-VLOOKUP((I14/G14*30.4),SUBSIDIO,2))/30.4*G14,2),0),0)</f>
        <v>255.68</v>
      </c>
      <c r="L14" s="141">
        <f t="shared" si="1"/>
        <v>2917.65</v>
      </c>
      <c r="M14" s="173"/>
      <c r="P14" s="51"/>
      <c r="Q14" s="52"/>
    </row>
    <row r="15" spans="2:18" ht="32.25" customHeight="1" x14ac:dyDescent="0.25">
      <c r="D15" s="339" t="s">
        <v>431</v>
      </c>
      <c r="E15" s="170" t="s">
        <v>62</v>
      </c>
      <c r="F15" s="144" t="s">
        <v>145</v>
      </c>
      <c r="G15" s="171">
        <v>15</v>
      </c>
      <c r="H15" s="173">
        <v>4385</v>
      </c>
      <c r="I15" s="173">
        <f>H15</f>
        <v>4385</v>
      </c>
      <c r="J15" s="408">
        <f t="shared" si="0"/>
        <v>0</v>
      </c>
      <c r="K15" s="408">
        <f t="shared" si="2"/>
        <v>341.9</v>
      </c>
      <c r="L15" s="141">
        <f t="shared" si="1"/>
        <v>4043.1</v>
      </c>
      <c r="M15" s="173"/>
      <c r="P15" s="51">
        <v>7508</v>
      </c>
      <c r="Q15" s="52">
        <f t="shared" ref="Q15:Q21" si="3">P15/2</f>
        <v>3754</v>
      </c>
    </row>
    <row r="16" spans="2:18" ht="27.95" customHeight="1" x14ac:dyDescent="0.25">
      <c r="D16" s="339" t="s">
        <v>432</v>
      </c>
      <c r="E16" s="170" t="s">
        <v>62</v>
      </c>
      <c r="F16" s="176" t="s">
        <v>64</v>
      </c>
      <c r="G16" s="171">
        <v>15</v>
      </c>
      <c r="H16" s="173">
        <v>4760</v>
      </c>
      <c r="I16" s="173">
        <v>4760</v>
      </c>
      <c r="J16" s="408">
        <f t="shared" si="0"/>
        <v>0</v>
      </c>
      <c r="K16" s="408">
        <f t="shared" si="2"/>
        <v>383.52</v>
      </c>
      <c r="L16" s="141">
        <f t="shared" si="1"/>
        <v>4376.4799999999996</v>
      </c>
      <c r="M16" s="173"/>
      <c r="P16" s="51"/>
      <c r="Q16" s="52"/>
    </row>
    <row r="17" spans="3:17" ht="27.95" customHeight="1" x14ac:dyDescent="0.25">
      <c r="D17" s="339" t="s">
        <v>433</v>
      </c>
      <c r="E17" s="170" t="s">
        <v>62</v>
      </c>
      <c r="F17" s="171" t="s">
        <v>64</v>
      </c>
      <c r="G17" s="171">
        <v>15</v>
      </c>
      <c r="H17" s="173">
        <v>4760</v>
      </c>
      <c r="I17" s="173">
        <v>4760</v>
      </c>
      <c r="J17" s="408">
        <f t="shared" si="0"/>
        <v>0</v>
      </c>
      <c r="K17" s="408">
        <f t="shared" si="2"/>
        <v>383.52</v>
      </c>
      <c r="L17" s="141">
        <f t="shared" si="1"/>
        <v>4376.4799999999996</v>
      </c>
      <c r="M17" s="173"/>
      <c r="P17" s="51">
        <v>7800</v>
      </c>
      <c r="Q17" s="52">
        <f t="shared" si="3"/>
        <v>3900</v>
      </c>
    </row>
    <row r="18" spans="3:17" ht="27.95" customHeight="1" x14ac:dyDescent="0.25">
      <c r="D18" s="339" t="s">
        <v>434</v>
      </c>
      <c r="E18" s="170" t="s">
        <v>62</v>
      </c>
      <c r="F18" s="176" t="s">
        <v>64</v>
      </c>
      <c r="G18" s="171">
        <v>5</v>
      </c>
      <c r="H18" s="173">
        <v>4760</v>
      </c>
      <c r="I18" s="173">
        <v>1587</v>
      </c>
      <c r="J18" s="408">
        <f t="shared" si="0"/>
        <v>0</v>
      </c>
      <c r="K18" s="408">
        <f t="shared" si="2"/>
        <v>127.89</v>
      </c>
      <c r="L18" s="141">
        <f t="shared" si="1"/>
        <v>1459.11</v>
      </c>
      <c r="M18" s="173"/>
      <c r="P18" s="51">
        <v>7800</v>
      </c>
      <c r="Q18" s="52">
        <f t="shared" si="3"/>
        <v>3900</v>
      </c>
    </row>
    <row r="19" spans="3:17" ht="27.95" customHeight="1" x14ac:dyDescent="0.25">
      <c r="D19" s="339" t="s">
        <v>435</v>
      </c>
      <c r="E19" s="170" t="s">
        <v>62</v>
      </c>
      <c r="F19" s="176" t="s">
        <v>64</v>
      </c>
      <c r="G19" s="174">
        <v>15</v>
      </c>
      <c r="H19" s="173">
        <v>4760</v>
      </c>
      <c r="I19" s="173">
        <v>4760</v>
      </c>
      <c r="J19" s="408">
        <f t="shared" si="0"/>
        <v>0</v>
      </c>
      <c r="K19" s="408">
        <f t="shared" si="2"/>
        <v>383.52</v>
      </c>
      <c r="L19" s="141">
        <f t="shared" si="1"/>
        <v>4376.4799999999996</v>
      </c>
      <c r="M19" s="173"/>
      <c r="P19" s="51">
        <v>7800</v>
      </c>
      <c r="Q19" s="52">
        <f t="shared" si="3"/>
        <v>3900</v>
      </c>
    </row>
    <row r="20" spans="3:17" ht="27.95" customHeight="1" x14ac:dyDescent="0.25">
      <c r="D20" s="339" t="s">
        <v>436</v>
      </c>
      <c r="E20" s="170" t="s">
        <v>62</v>
      </c>
      <c r="F20" s="176" t="s">
        <v>64</v>
      </c>
      <c r="G20" s="171">
        <v>15</v>
      </c>
      <c r="H20" s="173">
        <v>3908</v>
      </c>
      <c r="I20" s="173">
        <v>3908</v>
      </c>
      <c r="J20" s="408">
        <f t="shared" si="0"/>
        <v>0</v>
      </c>
      <c r="K20" s="408">
        <f t="shared" si="2"/>
        <v>290</v>
      </c>
      <c r="L20" s="141">
        <f t="shared" si="1"/>
        <v>3618</v>
      </c>
      <c r="M20" s="173"/>
      <c r="P20" s="51">
        <v>7800</v>
      </c>
      <c r="Q20" s="52">
        <f t="shared" si="3"/>
        <v>3900</v>
      </c>
    </row>
    <row r="21" spans="3:17" ht="27.95" customHeight="1" x14ac:dyDescent="0.25">
      <c r="D21" s="339" t="s">
        <v>437</v>
      </c>
      <c r="E21" s="170" t="s">
        <v>62</v>
      </c>
      <c r="F21" s="176" t="s">
        <v>64</v>
      </c>
      <c r="G21" s="171">
        <v>15</v>
      </c>
      <c r="H21" s="173">
        <v>3908</v>
      </c>
      <c r="I21" s="173">
        <v>3908</v>
      </c>
      <c r="J21" s="408">
        <f t="shared" si="0"/>
        <v>0</v>
      </c>
      <c r="K21" s="408">
        <f t="shared" si="2"/>
        <v>290</v>
      </c>
      <c r="L21" s="141">
        <f t="shared" si="1"/>
        <v>3618</v>
      </c>
      <c r="M21" s="173"/>
      <c r="P21" s="51">
        <v>7800</v>
      </c>
      <c r="Q21" s="52">
        <f t="shared" si="3"/>
        <v>3900</v>
      </c>
    </row>
    <row r="22" spans="3:17" ht="27.95" hidden="1" customHeight="1" x14ac:dyDescent="0.25">
      <c r="D22" s="339"/>
      <c r="E22" s="170" t="s">
        <v>62</v>
      </c>
      <c r="F22" s="174"/>
      <c r="G22" s="171"/>
      <c r="H22" s="173"/>
      <c r="I22" s="173"/>
      <c r="J22" s="408"/>
      <c r="K22" s="408"/>
      <c r="L22" s="141"/>
      <c r="M22" s="177"/>
      <c r="O22" s="15">
        <v>4237.95</v>
      </c>
      <c r="P22" s="51">
        <f>O22/15</f>
        <v>282.52999999999997</v>
      </c>
      <c r="Q22" s="52"/>
    </row>
    <row r="23" spans="3:17" ht="27.95" customHeight="1" x14ac:dyDescent="0.25">
      <c r="D23" s="339" t="s">
        <v>438</v>
      </c>
      <c r="E23" s="170" t="s">
        <v>62</v>
      </c>
      <c r="F23" s="174" t="s">
        <v>64</v>
      </c>
      <c r="G23" s="171">
        <v>15</v>
      </c>
      <c r="H23" s="173">
        <v>4760</v>
      </c>
      <c r="I23" s="173">
        <v>4760</v>
      </c>
      <c r="J23" s="408">
        <f t="shared" ref="J23:J33" si="4">IFERROR(IF(ROUND((((I23/G23*30.4)-VLOOKUP((I23/G23*30.4),TARIFA,1))*VLOOKUP((I23/G23*30.4),TARIFA,3)+VLOOKUP((I23/G23*30.4),TARIFA,2)-VLOOKUP((I23/G23*30.4),SUBSIDIO,2))/30.4*G23,2)&lt;0,ROUND(-(((I23/G23*30.4)-VLOOKUP((I23/G23*30.4),TARIFA,1))*VLOOKUP((I23/G23*30.4),TARIFA,3)+VLOOKUP((I23/G23*30.4),TARIFA,2)-VLOOKUP((I23/G23*30.4),SUBSIDIO,2))/30.4*G23,2),0),0)</f>
        <v>0</v>
      </c>
      <c r="K23" s="408">
        <f t="shared" ref="K23:K35" si="5">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</f>
        <v>383.52</v>
      </c>
      <c r="L23" s="141">
        <f t="shared" si="1"/>
        <v>4376.4799999999996</v>
      </c>
      <c r="M23" s="177"/>
      <c r="P23" s="51">
        <f>P22*13</f>
        <v>3672.8899999999994</v>
      </c>
      <c r="Q23" s="52"/>
    </row>
    <row r="24" spans="3:17" ht="27.95" customHeight="1" x14ac:dyDescent="0.25">
      <c r="D24" s="339" t="s">
        <v>439</v>
      </c>
      <c r="E24" s="170" t="s">
        <v>62</v>
      </c>
      <c r="F24" s="175" t="s">
        <v>64</v>
      </c>
      <c r="G24" s="171">
        <v>15</v>
      </c>
      <c r="H24" s="173">
        <v>4760</v>
      </c>
      <c r="I24" s="173">
        <v>4760</v>
      </c>
      <c r="J24" s="408">
        <f t="shared" si="4"/>
        <v>0</v>
      </c>
      <c r="K24" s="408">
        <f t="shared" si="5"/>
        <v>383.52</v>
      </c>
      <c r="L24" s="141">
        <f t="shared" si="1"/>
        <v>4376.4799999999996</v>
      </c>
      <c r="M24" s="177"/>
      <c r="P24" s="51">
        <v>339.76</v>
      </c>
      <c r="Q24" s="52"/>
    </row>
    <row r="25" spans="3:17" ht="27.95" customHeight="1" x14ac:dyDescent="0.25">
      <c r="C25" s="18"/>
      <c r="D25" s="339" t="s">
        <v>440</v>
      </c>
      <c r="E25" s="170" t="s">
        <v>62</v>
      </c>
      <c r="F25" s="174" t="s">
        <v>64</v>
      </c>
      <c r="G25" s="171">
        <v>15</v>
      </c>
      <c r="H25" s="173">
        <v>4760</v>
      </c>
      <c r="I25" s="173">
        <v>4760</v>
      </c>
      <c r="J25" s="408">
        <f t="shared" si="4"/>
        <v>0</v>
      </c>
      <c r="K25" s="408">
        <f t="shared" si="5"/>
        <v>383.52</v>
      </c>
      <c r="L25" s="141">
        <f t="shared" si="1"/>
        <v>4376.4799999999996</v>
      </c>
      <c r="M25" s="177"/>
      <c r="P25" s="51" t="e">
        <f>#REF!*13</f>
        <v>#REF!</v>
      </c>
      <c r="Q25" s="52"/>
    </row>
    <row r="26" spans="3:17" ht="27.95" customHeight="1" x14ac:dyDescent="0.25">
      <c r="D26" s="339" t="s">
        <v>441</v>
      </c>
      <c r="E26" s="170" t="s">
        <v>62</v>
      </c>
      <c r="F26" s="174" t="s">
        <v>64</v>
      </c>
      <c r="G26" s="171">
        <v>15</v>
      </c>
      <c r="H26" s="173">
        <v>4760</v>
      </c>
      <c r="I26" s="173">
        <v>4760</v>
      </c>
      <c r="J26" s="408">
        <f t="shared" si="4"/>
        <v>0</v>
      </c>
      <c r="K26" s="408">
        <f t="shared" si="5"/>
        <v>383.52</v>
      </c>
      <c r="L26" s="141">
        <f t="shared" si="1"/>
        <v>4376.4799999999996</v>
      </c>
      <c r="M26" s="177"/>
      <c r="P26" s="51" t="e">
        <f>P23-P25</f>
        <v>#REF!</v>
      </c>
      <c r="Q26" s="52"/>
    </row>
    <row r="27" spans="3:17" ht="27.95" customHeight="1" x14ac:dyDescent="0.25">
      <c r="D27" s="339" t="s">
        <v>442</v>
      </c>
      <c r="E27" s="170" t="s">
        <v>62</v>
      </c>
      <c r="F27" s="174" t="s">
        <v>64</v>
      </c>
      <c r="G27" s="171">
        <v>15</v>
      </c>
      <c r="H27" s="173">
        <v>4760</v>
      </c>
      <c r="I27" s="173">
        <v>4760</v>
      </c>
      <c r="J27" s="408">
        <f t="shared" si="4"/>
        <v>0</v>
      </c>
      <c r="K27" s="408">
        <f t="shared" si="5"/>
        <v>383.52</v>
      </c>
      <c r="L27" s="141">
        <f t="shared" si="1"/>
        <v>4376.4799999999996</v>
      </c>
      <c r="M27" s="177"/>
      <c r="P27" s="51"/>
      <c r="Q27" s="52"/>
    </row>
    <row r="28" spans="3:17" ht="27.95" hidden="1" customHeight="1" x14ac:dyDescent="0.25">
      <c r="D28" s="339"/>
      <c r="E28" s="170" t="s">
        <v>62</v>
      </c>
      <c r="F28" s="174"/>
      <c r="G28" s="171"/>
      <c r="H28" s="173"/>
      <c r="I28" s="173"/>
      <c r="J28" s="408"/>
      <c r="K28" s="408"/>
      <c r="L28" s="141"/>
      <c r="M28" s="177"/>
      <c r="P28" s="51"/>
      <c r="Q28" s="52"/>
    </row>
    <row r="29" spans="3:17" ht="27.95" customHeight="1" x14ac:dyDescent="0.25">
      <c r="D29" s="339" t="s">
        <v>444</v>
      </c>
      <c r="E29" s="170" t="s">
        <v>62</v>
      </c>
      <c r="F29" s="174" t="s">
        <v>64</v>
      </c>
      <c r="G29" s="171">
        <v>15</v>
      </c>
      <c r="H29" s="173">
        <v>4760</v>
      </c>
      <c r="I29" s="173">
        <v>4760</v>
      </c>
      <c r="J29" s="408">
        <f t="shared" si="4"/>
        <v>0</v>
      </c>
      <c r="K29" s="408">
        <f t="shared" si="5"/>
        <v>383.52</v>
      </c>
      <c r="L29" s="141">
        <f t="shared" si="1"/>
        <v>4376.4799999999996</v>
      </c>
      <c r="M29" s="177"/>
      <c r="P29" s="51"/>
      <c r="Q29" s="52"/>
    </row>
    <row r="30" spans="3:17" ht="27.95" customHeight="1" x14ac:dyDescent="0.25">
      <c r="D30" s="339" t="s">
        <v>445</v>
      </c>
      <c r="E30" s="170" t="s">
        <v>62</v>
      </c>
      <c r="F30" s="174" t="s">
        <v>64</v>
      </c>
      <c r="G30" s="171">
        <v>15</v>
      </c>
      <c r="H30" s="173">
        <v>4760</v>
      </c>
      <c r="I30" s="173">
        <v>4760</v>
      </c>
      <c r="J30" s="408">
        <f t="shared" si="4"/>
        <v>0</v>
      </c>
      <c r="K30" s="408">
        <f t="shared" si="5"/>
        <v>383.52</v>
      </c>
      <c r="L30" s="141">
        <f t="shared" si="1"/>
        <v>4376.4799999999996</v>
      </c>
      <c r="M30" s="177"/>
      <c r="P30" s="51"/>
      <c r="Q30" s="52"/>
    </row>
    <row r="31" spans="3:17" ht="27.95" customHeight="1" x14ac:dyDescent="0.25">
      <c r="D31" s="339" t="s">
        <v>472</v>
      </c>
      <c r="E31" s="170" t="s">
        <v>62</v>
      </c>
      <c r="F31" s="174" t="s">
        <v>64</v>
      </c>
      <c r="G31" s="171">
        <v>15</v>
      </c>
      <c r="H31" s="173">
        <v>4760</v>
      </c>
      <c r="I31" s="173">
        <v>4760</v>
      </c>
      <c r="J31" s="408">
        <f t="shared" si="4"/>
        <v>0</v>
      </c>
      <c r="K31" s="408">
        <f t="shared" si="5"/>
        <v>383.52</v>
      </c>
      <c r="L31" s="141">
        <f t="shared" si="1"/>
        <v>4376.4799999999996</v>
      </c>
      <c r="M31" s="177"/>
      <c r="N31" s="29" t="s">
        <v>466</v>
      </c>
      <c r="P31" s="51"/>
      <c r="Q31" s="52"/>
    </row>
    <row r="32" spans="3:17" ht="27.95" customHeight="1" x14ac:dyDescent="0.25">
      <c r="D32" s="339" t="s">
        <v>473</v>
      </c>
      <c r="E32" s="170" t="s">
        <v>62</v>
      </c>
      <c r="F32" s="174" t="s">
        <v>64</v>
      </c>
      <c r="G32" s="171">
        <v>15</v>
      </c>
      <c r="H32" s="173">
        <v>4760</v>
      </c>
      <c r="I32" s="173">
        <v>4760</v>
      </c>
      <c r="J32" s="408">
        <f t="shared" si="4"/>
        <v>0</v>
      </c>
      <c r="K32" s="408">
        <f t="shared" si="5"/>
        <v>383.52</v>
      </c>
      <c r="L32" s="141">
        <f t="shared" si="1"/>
        <v>4376.4799999999996</v>
      </c>
      <c r="M32" s="415"/>
      <c r="N32" s="29" t="s">
        <v>467</v>
      </c>
      <c r="P32" s="51"/>
      <c r="Q32" s="52"/>
    </row>
    <row r="33" spans="4:17" ht="27.95" customHeight="1" x14ac:dyDescent="0.25">
      <c r="D33" s="339" t="s">
        <v>474</v>
      </c>
      <c r="E33" s="170" t="s">
        <v>62</v>
      </c>
      <c r="F33" s="174" t="s">
        <v>64</v>
      </c>
      <c r="G33" s="171">
        <v>15</v>
      </c>
      <c r="H33" s="173">
        <v>4760</v>
      </c>
      <c r="I33" s="173">
        <v>4760</v>
      </c>
      <c r="J33" s="408">
        <f t="shared" si="4"/>
        <v>0</v>
      </c>
      <c r="K33" s="408">
        <f t="shared" si="5"/>
        <v>383.52</v>
      </c>
      <c r="L33" s="141">
        <f t="shared" si="1"/>
        <v>4376.4799999999996</v>
      </c>
      <c r="M33" s="415"/>
      <c r="N33" s="29" t="s">
        <v>468</v>
      </c>
      <c r="P33" s="51"/>
      <c r="Q33" s="52"/>
    </row>
    <row r="34" spans="4:17" ht="27.95" customHeight="1" x14ac:dyDescent="0.25">
      <c r="D34" s="339"/>
      <c r="E34" s="170" t="s">
        <v>62</v>
      </c>
      <c r="F34" s="174" t="s">
        <v>64</v>
      </c>
      <c r="G34" s="171">
        <v>15</v>
      </c>
      <c r="H34" s="173">
        <v>4760</v>
      </c>
      <c r="I34" s="173">
        <v>4760</v>
      </c>
      <c r="J34" s="408">
        <v>0</v>
      </c>
      <c r="K34" s="408">
        <f t="shared" si="5"/>
        <v>383.52</v>
      </c>
      <c r="L34" s="141">
        <f t="shared" si="1"/>
        <v>4376.4799999999996</v>
      </c>
      <c r="M34" s="415"/>
      <c r="N34" s="29"/>
      <c r="P34" s="51"/>
      <c r="Q34" s="52"/>
    </row>
    <row r="35" spans="4:17" ht="27.95" customHeight="1" x14ac:dyDescent="0.25">
      <c r="D35" s="339"/>
      <c r="E35" s="170" t="s">
        <v>62</v>
      </c>
      <c r="F35" s="174" t="s">
        <v>64</v>
      </c>
      <c r="G35" s="171">
        <v>15</v>
      </c>
      <c r="H35" s="173">
        <v>7460</v>
      </c>
      <c r="I35" s="173">
        <v>4760</v>
      </c>
      <c r="J35" s="408">
        <v>0</v>
      </c>
      <c r="K35" s="408">
        <f t="shared" si="5"/>
        <v>383.52</v>
      </c>
      <c r="L35" s="141">
        <f t="shared" si="1"/>
        <v>4376.4799999999996</v>
      </c>
      <c r="M35" s="415"/>
      <c r="N35" s="29" t="s">
        <v>480</v>
      </c>
      <c r="P35" s="51"/>
      <c r="Q35" s="52"/>
    </row>
    <row r="36" spans="4:17" ht="27.95" customHeight="1" x14ac:dyDescent="0.25">
      <c r="D36" s="339"/>
      <c r="E36" s="170" t="s">
        <v>62</v>
      </c>
      <c r="F36" s="174" t="s">
        <v>64</v>
      </c>
      <c r="G36" s="171">
        <v>15</v>
      </c>
      <c r="H36" s="173">
        <v>7460</v>
      </c>
      <c r="I36" s="173">
        <v>4760</v>
      </c>
      <c r="J36" s="408">
        <v>0</v>
      </c>
      <c r="K36" s="408">
        <f t="shared" ref="K36" si="6">IFERROR(IF(ROUND((((I36/G36*30.4)-VLOOKUP((I36/G36*30.4),TARIFA,1))*VLOOKUP((I36/G36*30.4),TARIFA,3)+VLOOKUP((I36/G36*30.4),TARIFA,2)-VLOOKUP((I36/G36*30.4),SUBSIDIO,2))/30.4*G36,2)&gt;0,ROUND((((I36/G36*30.4)-VLOOKUP((I36/G36*30.4),TARIFA,1))*VLOOKUP((I36/G36*30.4),TARIFA,3)+VLOOKUP((I36/G36*30.4),TARIFA,2)-VLOOKUP((I36/G36*30.4),SUBSIDIO,2))/30.4*G36,2),0),0)</f>
        <v>383.52</v>
      </c>
      <c r="L36" s="141">
        <f t="shared" ref="L36" si="7">I36+J36-K36</f>
        <v>4376.4799999999996</v>
      </c>
      <c r="M36" s="415"/>
      <c r="N36" s="29"/>
      <c r="P36" s="51"/>
      <c r="Q36" s="52"/>
    </row>
    <row r="37" spans="4:17" ht="27.95" customHeight="1" x14ac:dyDescent="0.25">
      <c r="D37" s="339"/>
      <c r="E37" s="175"/>
      <c r="F37" s="174"/>
      <c r="G37" s="171"/>
      <c r="H37" s="173"/>
      <c r="I37" s="173"/>
      <c r="J37" s="408"/>
      <c r="K37" s="408"/>
      <c r="L37" s="173"/>
      <c r="M37" s="260"/>
      <c r="P37" s="51"/>
      <c r="Q37" s="52"/>
    </row>
    <row r="38" spans="4:17" ht="12" customHeight="1" x14ac:dyDescent="0.2">
      <c r="D38" s="402"/>
      <c r="E38" s="20"/>
      <c r="F38" s="20"/>
      <c r="G38" s="20"/>
      <c r="H38" s="24"/>
      <c r="I38" s="26"/>
      <c r="J38" s="26"/>
      <c r="K38" s="26"/>
      <c r="L38" s="26"/>
      <c r="M38" s="26"/>
      <c r="P38" s="51"/>
    </row>
    <row r="39" spans="4:17" ht="26.1" customHeight="1" thickBot="1" x14ac:dyDescent="0.3">
      <c r="D39" s="462" t="s">
        <v>68</v>
      </c>
      <c r="E39" s="463"/>
      <c r="F39" s="463"/>
      <c r="G39" s="413"/>
      <c r="H39" s="414">
        <f>SUM(H11:H37)</f>
        <v>121961</v>
      </c>
      <c r="I39" s="183">
        <f>SUM(I11:I38)</f>
        <v>110082.66</v>
      </c>
      <c r="J39" s="183">
        <f t="shared" ref="J39:L39" si="8">SUM(J11:J38)</f>
        <v>0</v>
      </c>
      <c r="K39" s="183">
        <f t="shared" si="8"/>
        <v>9262.8900000000049</v>
      </c>
      <c r="L39" s="183">
        <f t="shared" si="8"/>
        <v>100819.76999999995</v>
      </c>
      <c r="M39" s="45"/>
      <c r="P39" s="51"/>
      <c r="Q39" s="52">
        <f>SUM(Q11:Q38)</f>
        <v>30054</v>
      </c>
    </row>
    <row r="40" spans="4:17" ht="13.5" thickTop="1" x14ac:dyDescent="0.2">
      <c r="H40" s="46"/>
      <c r="P40" s="51"/>
    </row>
    <row r="41" spans="4:17" x14ac:dyDescent="0.2">
      <c r="P41" s="51"/>
    </row>
    <row r="42" spans="4:17" x14ac:dyDescent="0.2">
      <c r="P42" s="51"/>
    </row>
    <row r="43" spans="4:17" x14ac:dyDescent="0.2">
      <c r="E43" s="30" t="s">
        <v>121</v>
      </c>
      <c r="H43" s="30"/>
      <c r="I43" s="30"/>
      <c r="J43" s="30"/>
      <c r="K43" s="30"/>
      <c r="L43" s="62"/>
      <c r="M43" s="62"/>
      <c r="P43" s="51"/>
    </row>
    <row r="44" spans="4:17" x14ac:dyDescent="0.2">
      <c r="E44" s="29" t="s">
        <v>484</v>
      </c>
      <c r="L44" s="478" t="s">
        <v>193</v>
      </c>
      <c r="M44" s="478"/>
      <c r="P44" s="51"/>
    </row>
    <row r="45" spans="4:17" x14ac:dyDescent="0.2">
      <c r="E45" s="30" t="s">
        <v>11</v>
      </c>
      <c r="F45" s="30"/>
      <c r="G45" s="30"/>
      <c r="H45" s="30"/>
      <c r="I45" s="30"/>
      <c r="J45" s="30"/>
      <c r="K45" s="30"/>
      <c r="L45" s="479" t="s">
        <v>164</v>
      </c>
      <c r="M45" s="479"/>
      <c r="P45" s="51"/>
    </row>
    <row r="46" spans="4:17" x14ac:dyDescent="0.2">
      <c r="M46" s="51"/>
      <c r="P46" s="51"/>
    </row>
    <row r="47" spans="4:17" x14ac:dyDescent="0.2">
      <c r="M47" s="51"/>
    </row>
    <row r="48" spans="4:17" x14ac:dyDescent="0.2">
      <c r="M48" s="51"/>
    </row>
    <row r="49" spans="4:17" x14ac:dyDescent="0.2">
      <c r="M49" s="51"/>
    </row>
    <row r="50" spans="4:17" ht="18" x14ac:dyDescent="0.25">
      <c r="D50" s="521"/>
      <c r="E50" s="521"/>
      <c r="F50" s="521"/>
      <c r="G50" s="521"/>
      <c r="H50" s="521"/>
      <c r="I50" s="521"/>
      <c r="J50" s="521"/>
      <c r="K50" s="521"/>
      <c r="L50" s="521"/>
      <c r="M50" s="521"/>
    </row>
    <row r="51" spans="4:17" ht="35.1" customHeight="1" x14ac:dyDescent="0.5">
      <c r="D51" s="513" t="s">
        <v>12</v>
      </c>
      <c r="E51" s="514"/>
      <c r="F51" s="514"/>
      <c r="G51" s="514"/>
      <c r="H51" s="514"/>
      <c r="I51" s="514"/>
      <c r="J51" s="514"/>
      <c r="K51" s="514"/>
      <c r="L51" s="514"/>
      <c r="M51" s="515"/>
    </row>
    <row r="52" spans="4:17" ht="24.75" customHeight="1" x14ac:dyDescent="0.5">
      <c r="D52" s="507" t="str">
        <f>D5</f>
        <v>NOMINA 1RA QUINCENA DE MAYO DE  2021</v>
      </c>
      <c r="E52" s="508"/>
      <c r="F52" s="508"/>
      <c r="G52" s="508"/>
      <c r="H52" s="508"/>
      <c r="I52" s="508"/>
      <c r="J52" s="508"/>
      <c r="K52" s="508"/>
      <c r="L52" s="508"/>
      <c r="M52" s="509"/>
    </row>
    <row r="53" spans="4:17" ht="28.5" customHeight="1" x14ac:dyDescent="0.5">
      <c r="D53" s="518" t="s">
        <v>258</v>
      </c>
      <c r="E53" s="519"/>
      <c r="F53" s="519"/>
      <c r="G53" s="519"/>
      <c r="H53" s="519"/>
      <c r="I53" s="519"/>
      <c r="J53" s="519"/>
      <c r="K53" s="519"/>
      <c r="L53" s="519"/>
      <c r="M53" s="520"/>
    </row>
    <row r="54" spans="4:17" x14ac:dyDescent="0.2">
      <c r="D54" s="334"/>
      <c r="E54" s="115"/>
      <c r="F54" s="115"/>
      <c r="G54" s="134"/>
      <c r="H54" s="116"/>
      <c r="I54" s="510"/>
      <c r="J54" s="511"/>
      <c r="K54" s="511"/>
      <c r="L54" s="511"/>
      <c r="M54" s="512"/>
    </row>
    <row r="55" spans="4:17" x14ac:dyDescent="0.2">
      <c r="D55" s="336" t="s">
        <v>3</v>
      </c>
      <c r="E55" s="117"/>
      <c r="F55" s="117"/>
      <c r="G55" s="117"/>
      <c r="H55" s="118" t="s">
        <v>1</v>
      </c>
      <c r="I55" s="119" t="s">
        <v>153</v>
      </c>
      <c r="J55" s="119" t="s">
        <v>157</v>
      </c>
      <c r="K55" s="119"/>
      <c r="L55" s="117" t="s">
        <v>163</v>
      </c>
      <c r="M55" s="117"/>
    </row>
    <row r="56" spans="4:17" x14ac:dyDescent="0.2">
      <c r="D56" s="336"/>
      <c r="E56" s="118"/>
      <c r="F56" s="118" t="s">
        <v>10</v>
      </c>
      <c r="G56" s="117"/>
      <c r="H56" s="117" t="s">
        <v>155</v>
      </c>
      <c r="I56" s="118" t="s">
        <v>156</v>
      </c>
      <c r="J56" s="118" t="s">
        <v>158</v>
      </c>
      <c r="K56" s="118" t="s">
        <v>159</v>
      </c>
      <c r="L56" s="117" t="s">
        <v>162</v>
      </c>
      <c r="M56" s="117" t="s">
        <v>161</v>
      </c>
    </row>
    <row r="57" spans="4:17" x14ac:dyDescent="0.2">
      <c r="D57" s="337"/>
      <c r="E57" s="119" t="s">
        <v>258</v>
      </c>
      <c r="F57" s="119" t="s">
        <v>9</v>
      </c>
      <c r="G57" s="119" t="s">
        <v>168</v>
      </c>
      <c r="H57" s="119"/>
      <c r="I57" s="119"/>
      <c r="J57" s="119"/>
      <c r="K57" s="119"/>
      <c r="L57" s="119"/>
      <c r="M57" s="119"/>
    </row>
    <row r="58" spans="4:17" x14ac:dyDescent="0.2">
      <c r="F58" s="87"/>
      <c r="G58" s="87"/>
      <c r="H58" s="87"/>
      <c r="I58" s="87"/>
      <c r="J58" s="87"/>
      <c r="K58" s="87"/>
      <c r="L58" s="87"/>
      <c r="M58" s="87"/>
    </row>
    <row r="59" spans="4:17" ht="15" customHeight="1" x14ac:dyDescent="0.25">
      <c r="D59" s="401"/>
      <c r="E59" s="179"/>
      <c r="F59" s="171"/>
      <c r="G59" s="171"/>
      <c r="H59" s="172"/>
      <c r="I59" s="173"/>
      <c r="J59" s="173"/>
      <c r="K59" s="173"/>
      <c r="L59" s="173"/>
      <c r="M59" s="19"/>
      <c r="P59" s="51">
        <v>6770</v>
      </c>
      <c r="Q59" s="52">
        <f>P59/2</f>
        <v>3385</v>
      </c>
    </row>
    <row r="60" spans="4:17" ht="39.950000000000003" customHeight="1" x14ac:dyDescent="0.25">
      <c r="D60" s="403" t="s">
        <v>446</v>
      </c>
      <c r="E60" s="171" t="s">
        <v>124</v>
      </c>
      <c r="F60" s="171" t="s">
        <v>125</v>
      </c>
      <c r="G60" s="171">
        <v>15</v>
      </c>
      <c r="H60" s="173">
        <v>3922</v>
      </c>
      <c r="I60" s="173">
        <v>3922</v>
      </c>
      <c r="J60" s="408">
        <f>IFERROR(IF(ROUND((((I60/G60*30.4)-VLOOKUP((I60/G60*30.4),TARIFA,1))*VLOOKUP((I60/G60*30.4),TARIFA,3)+VLOOKUP((I60/G60*30.4),TARIFA,2)-VLOOKUP((I60/G60*30.4),SUBSIDIO,2))/30.4*G60,2)&lt;0,ROUND(-(((I60/G60*30.4)-VLOOKUP((I60/G60*30.4),TARIFA,1))*VLOOKUP((I60/G60*30.4),TARIFA,3)+VLOOKUP((I60/G60*30.4),TARIFA,2)-VLOOKUP((I60/G60*30.4),SUBSIDIO,2))/30.4*G60,2),0),0)</f>
        <v>0</v>
      </c>
      <c r="K60" s="408">
        <f>IFERROR(IF(ROUND((((I60/G60*30.4)-VLOOKUP((I60/G60*30.4),TARIFA,1))*VLOOKUP((I60/G60*30.4),TARIFA,3)+VLOOKUP((I60/G60*30.4),TARIFA,2)-VLOOKUP((I60/G60*30.4),SUBSIDIO,2))/30.4*G60,2)&gt;0,ROUND((((I60/G60*30.4)-VLOOKUP((I60/G60*30.4),TARIFA,1))*VLOOKUP((I60/G60*30.4),TARIFA,3)+VLOOKUP((I60/G60*30.4),TARIFA,2)-VLOOKUP((I60/G60*30.4),SUBSIDIO,2))/30.4*G60,2),0),0)</f>
        <v>291.52999999999997</v>
      </c>
      <c r="L60" s="173">
        <f t="shared" ref="L60:L65" si="9">I60-K60</f>
        <v>3630.4700000000003</v>
      </c>
      <c r="M60" s="19"/>
      <c r="P60" s="51"/>
      <c r="Q60" s="52"/>
    </row>
    <row r="61" spans="4:17" ht="39.950000000000003" customHeight="1" x14ac:dyDescent="0.25">
      <c r="D61" s="342" t="s">
        <v>447</v>
      </c>
      <c r="E61" s="174" t="s">
        <v>126</v>
      </c>
      <c r="F61" s="174" t="s">
        <v>127</v>
      </c>
      <c r="G61" s="174">
        <v>15</v>
      </c>
      <c r="H61" s="173">
        <v>4483</v>
      </c>
      <c r="I61" s="173">
        <v>4483</v>
      </c>
      <c r="J61" s="408">
        <f>IFERROR(IF(ROUND((((I61/G61*30.4)-VLOOKUP((I61/G61*30.4),TARIFA,1))*VLOOKUP((I61/G61*30.4),TARIFA,3)+VLOOKUP((I61/G61*30.4),TARIFA,2)-VLOOKUP((I61/G61*30.4),SUBSIDIO,2))/30.4*G61,2)&lt;0,ROUND(-(((I61/G61*30.4)-VLOOKUP((I61/G61*30.4),TARIFA,1))*VLOOKUP((I61/G61*30.4),TARIFA,3)+VLOOKUP((I61/G61*30.4),TARIFA,2)-VLOOKUP((I61/G61*30.4),SUBSIDIO,2))/30.4*G61,2),0),0)</f>
        <v>0</v>
      </c>
      <c r="K61" s="408">
        <f>IFERROR(IF(ROUND((((I61/G61*30.4)-VLOOKUP((I61/G61*30.4),TARIFA,1))*VLOOKUP((I61/G61*30.4),TARIFA,3)+VLOOKUP((I61/G61*30.4),TARIFA,2)-VLOOKUP((I61/G61*30.4),SUBSIDIO,2))/30.4*G61,2)&gt;0,ROUND((((I61/G61*30.4)-VLOOKUP((I61/G61*30.4),TARIFA,1))*VLOOKUP((I61/G61*30.4),TARIFA,3)+VLOOKUP((I61/G61*30.4),TARIFA,2)-VLOOKUP((I61/G61*30.4),SUBSIDIO,2))/30.4*G61,2),0),0)</f>
        <v>352.56</v>
      </c>
      <c r="L61" s="173">
        <f t="shared" si="9"/>
        <v>4130.4399999999996</v>
      </c>
      <c r="M61" s="19"/>
      <c r="P61" s="51">
        <v>6770</v>
      </c>
      <c r="Q61" s="52">
        <f>P61/2</f>
        <v>3385</v>
      </c>
    </row>
    <row r="62" spans="4:17" ht="39.950000000000003" customHeight="1" x14ac:dyDescent="0.25">
      <c r="D62" s="404" t="s">
        <v>448</v>
      </c>
      <c r="E62" s="171" t="s">
        <v>229</v>
      </c>
      <c r="F62" s="171" t="s">
        <v>127</v>
      </c>
      <c r="G62" s="171">
        <v>15</v>
      </c>
      <c r="H62" s="173">
        <v>3183</v>
      </c>
      <c r="I62" s="173">
        <f>H62</f>
        <v>3183</v>
      </c>
      <c r="J62" s="408">
        <f>IFERROR(IF(ROUND((((I62/G62*30.4)-VLOOKUP((I62/G62*30.4),TARIFA,1))*VLOOKUP((I62/G62*30.4),TARIFA,3)+VLOOKUP((I62/G62*30.4),TARIFA,2)-VLOOKUP((I62/G62*30.4),SUBSIDIO,2))/30.4*G62,2)&lt;0,ROUND(-(((I62/G62*30.4)-VLOOKUP((I62/G62*30.4),TARIFA,1))*VLOOKUP((I62/G62*30.4),TARIFA,3)+VLOOKUP((I62/G62*30.4),TARIFA,2)-VLOOKUP((I62/G62*30.4),SUBSIDIO,2))/30.4*G62,2),0),0)</f>
        <v>0</v>
      </c>
      <c r="K62" s="408">
        <f>IFERROR(IF(ROUND((((I62/G62*30.4)-VLOOKUP((I62/G62*30.4),TARIFA,1))*VLOOKUP((I62/G62*30.4),TARIFA,3)+VLOOKUP((I62/G62*30.4),TARIFA,2)-VLOOKUP((I62/G62*30.4),SUBSIDIO,2))/30.4*G62,2)&gt;0,ROUND((((I62/G62*30.4)-VLOOKUP((I62/G62*30.4),TARIFA,1))*VLOOKUP((I62/G62*30.4),TARIFA,3)+VLOOKUP((I62/G62*30.4),TARIFA,2)-VLOOKUP((I62/G62*30.4),SUBSIDIO,2))/30.4*G62,2),0),0)</f>
        <v>86.02</v>
      </c>
      <c r="L62" s="173">
        <f t="shared" si="9"/>
        <v>3096.98</v>
      </c>
      <c r="M62" s="19"/>
      <c r="P62" s="51">
        <v>4170</v>
      </c>
      <c r="Q62" s="52">
        <f>P62/2</f>
        <v>2085</v>
      </c>
    </row>
    <row r="63" spans="4:17" ht="39.950000000000003" customHeight="1" x14ac:dyDescent="0.25">
      <c r="D63" s="405" t="s">
        <v>449</v>
      </c>
      <c r="E63" s="171" t="s">
        <v>177</v>
      </c>
      <c r="F63" s="171" t="s">
        <v>38</v>
      </c>
      <c r="G63" s="171">
        <v>15</v>
      </c>
      <c r="H63" s="173">
        <v>3183</v>
      </c>
      <c r="I63" s="173">
        <f>H63</f>
        <v>3183</v>
      </c>
      <c r="J63" s="408">
        <f>IFERROR(IF(ROUND((((I63/G63*30.4)-VLOOKUP((I63/G63*30.4),TARIFA,1))*VLOOKUP((I63/G63*30.4),TARIFA,3)+VLOOKUP((I63/G63*30.4),TARIFA,2)-VLOOKUP((I63/G63*30.4),SUBSIDIO,2))/30.4*G63,2)&lt;0,ROUND(-(((I63/G63*30.4)-VLOOKUP((I63/G63*30.4),TARIFA,1))*VLOOKUP((I63/G63*30.4),TARIFA,3)+VLOOKUP((I63/G63*30.4),TARIFA,2)-VLOOKUP((I63/G63*30.4),SUBSIDIO,2))/30.4*G63,2),0),0)</f>
        <v>0</v>
      </c>
      <c r="K63" s="408">
        <f>IFERROR(IF(ROUND((((I63/G63*30.4)-VLOOKUP((I63/G63*30.4),TARIFA,1))*VLOOKUP((I63/G63*30.4),TARIFA,3)+VLOOKUP((I63/G63*30.4),TARIFA,2)-VLOOKUP((I63/G63*30.4),SUBSIDIO,2))/30.4*G63,2)&gt;0,ROUND((((I63/G63*30.4)-VLOOKUP((I63/G63*30.4),TARIFA,1))*VLOOKUP((I63/G63*30.4),TARIFA,3)+VLOOKUP((I63/G63*30.4),TARIFA,2)-VLOOKUP((I63/G63*30.4),SUBSIDIO,2))/30.4*G63,2),0),0)</f>
        <v>86.02</v>
      </c>
      <c r="L63" s="173">
        <f t="shared" si="9"/>
        <v>3096.98</v>
      </c>
      <c r="M63" s="19"/>
      <c r="P63" s="51">
        <v>4170</v>
      </c>
      <c r="Q63" s="52">
        <f>P63/2</f>
        <v>2085</v>
      </c>
    </row>
    <row r="64" spans="4:17" ht="39.950000000000003" customHeight="1" x14ac:dyDescent="0.25">
      <c r="D64" s="406" t="s">
        <v>423</v>
      </c>
      <c r="E64" s="262" t="s">
        <v>465</v>
      </c>
      <c r="F64" s="257" t="s">
        <v>127</v>
      </c>
      <c r="G64" s="258">
        <v>15</v>
      </c>
      <c r="H64" s="256">
        <v>3908</v>
      </c>
      <c r="I64" s="260">
        <v>3908</v>
      </c>
      <c r="J64" s="436">
        <v>0</v>
      </c>
      <c r="K64" s="408">
        <v>290</v>
      </c>
      <c r="L64" s="173">
        <f t="shared" si="9"/>
        <v>3618</v>
      </c>
      <c r="M64" s="461"/>
      <c r="P64" s="51"/>
      <c r="Q64" s="52"/>
    </row>
    <row r="65" spans="4:17" ht="39.950000000000003" customHeight="1" x14ac:dyDescent="0.25">
      <c r="D65" s="406" t="s">
        <v>423</v>
      </c>
      <c r="E65" s="262" t="s">
        <v>179</v>
      </c>
      <c r="F65" s="257" t="s">
        <v>38</v>
      </c>
      <c r="G65" s="258">
        <v>10</v>
      </c>
      <c r="H65" s="256">
        <v>4106</v>
      </c>
      <c r="I65" s="260">
        <v>2737.33</v>
      </c>
      <c r="J65" s="436">
        <v>0</v>
      </c>
      <c r="K65" s="408">
        <f>IFERROR(IF(ROUND((((I65/G65*30.4)-VLOOKUP((I65/G65*30.4),TARIFA,1))*VLOOKUP((I65/G65*30.4),TARIFA,3)+VLOOKUP((I65/G65*30.4),TARIFA,2)-VLOOKUP((I65/G65*30.4),SUBSIDIO,2))/30.4*G65,2)&gt;0,ROUND((((I65/G65*30.4)-VLOOKUP((I65/G65*30.4),TARIFA,1))*VLOOKUP((I65/G65*30.4),TARIFA,3)+VLOOKUP((I65/G65*30.4),TARIFA,2)-VLOOKUP((I65/G65*30.4),SUBSIDIO,2))/30.4*G65,2),0),0)</f>
        <v>207.7</v>
      </c>
      <c r="L65" s="173">
        <f t="shared" si="9"/>
        <v>2529.63</v>
      </c>
      <c r="M65" s="77"/>
      <c r="N65" s="86"/>
      <c r="P65" s="51"/>
      <c r="Q65" s="52"/>
    </row>
    <row r="66" spans="4:17" ht="50.1" customHeight="1" x14ac:dyDescent="0.25">
      <c r="D66" s="407"/>
      <c r="E66" s="261"/>
      <c r="F66" s="261"/>
      <c r="G66" s="180"/>
      <c r="H66" s="259"/>
      <c r="I66" s="263"/>
      <c r="J66" s="264"/>
      <c r="K66" s="264"/>
      <c r="L66" s="264"/>
      <c r="N66" s="86"/>
    </row>
    <row r="67" spans="4:17" ht="33.75" customHeight="1" thickBot="1" x14ac:dyDescent="0.3">
      <c r="D67" s="516" t="s">
        <v>68</v>
      </c>
      <c r="E67" s="517"/>
      <c r="F67" s="517"/>
      <c r="G67" s="181"/>
      <c r="H67" s="182">
        <f>SUM(H59:H66)</f>
        <v>22785</v>
      </c>
      <c r="I67" s="182">
        <f>SUM(I59:I66)</f>
        <v>21416.33</v>
      </c>
      <c r="J67" s="182">
        <f>SUM(J59:J66)</f>
        <v>0</v>
      </c>
      <c r="K67" s="182">
        <f>SUM(K59:K66)</f>
        <v>1313.83</v>
      </c>
      <c r="L67" s="182">
        <f>SUM(L59:L66)</f>
        <v>20102.5</v>
      </c>
      <c r="M67" s="27"/>
    </row>
    <row r="68" spans="4:17" ht="13.5" thickTop="1" x14ac:dyDescent="0.2"/>
    <row r="75" spans="4:17" x14ac:dyDescent="0.2">
      <c r="E75" s="30" t="s">
        <v>121</v>
      </c>
      <c r="H75" s="30"/>
      <c r="I75" s="30"/>
      <c r="J75" s="30"/>
      <c r="K75" s="30"/>
      <c r="L75" s="62"/>
      <c r="M75" s="62"/>
    </row>
    <row r="76" spans="4:17" ht="24.95" customHeight="1" x14ac:dyDescent="0.2">
      <c r="E76" s="29" t="s">
        <v>484</v>
      </c>
      <c r="L76" s="478" t="s">
        <v>225</v>
      </c>
      <c r="M76" s="478"/>
    </row>
    <row r="77" spans="4:17" x14ac:dyDescent="0.2">
      <c r="E77" s="30" t="s">
        <v>11</v>
      </c>
      <c r="F77" s="30"/>
      <c r="G77" s="30"/>
      <c r="H77" s="30"/>
      <c r="I77" s="30"/>
      <c r="J77" s="30"/>
      <c r="K77" s="30"/>
      <c r="L77" s="479" t="s">
        <v>164</v>
      </c>
      <c r="M77" s="479"/>
    </row>
    <row r="80" spans="4:17" ht="24.95" customHeight="1" x14ac:dyDescent="0.2">
      <c r="E80" s="37"/>
      <c r="F80" s="37"/>
      <c r="G80" s="37"/>
      <c r="H80" s="37"/>
      <c r="I80" s="37"/>
      <c r="J80" s="37"/>
      <c r="K80" s="37"/>
      <c r="L80" s="37"/>
      <c r="M80" s="37"/>
    </row>
    <row r="81" spans="5:13" ht="24.95" customHeight="1" x14ac:dyDescent="0.2">
      <c r="E81" s="38"/>
      <c r="F81" s="37"/>
      <c r="G81" s="37"/>
      <c r="H81" s="38"/>
      <c r="I81" s="38"/>
      <c r="J81" s="38"/>
      <c r="K81" s="38"/>
      <c r="L81" s="38"/>
      <c r="M81" s="38"/>
    </row>
    <row r="82" spans="5:13" x14ac:dyDescent="0.2">
      <c r="E82" s="21"/>
      <c r="F82" s="37"/>
      <c r="G82" s="37"/>
      <c r="H82" s="37"/>
      <c r="I82" s="37"/>
      <c r="J82" s="37"/>
      <c r="K82" s="37"/>
      <c r="L82" s="37"/>
      <c r="M82" s="37"/>
    </row>
    <row r="83" spans="5:13" x14ac:dyDescent="0.2">
      <c r="E83" s="32"/>
      <c r="F83" s="30"/>
      <c r="G83" s="30"/>
      <c r="H83" s="30"/>
      <c r="I83" s="30"/>
      <c r="J83" s="30"/>
      <c r="K83" s="30"/>
      <c r="L83" s="30"/>
      <c r="M83" s="30"/>
    </row>
  </sheetData>
  <sheetProtection selectLockedCells="1" selectUnlockedCells="1"/>
  <mergeCells count="16">
    <mergeCell ref="L44:M44"/>
    <mergeCell ref="I54:M54"/>
    <mergeCell ref="L77:M77"/>
    <mergeCell ref="L45:M45"/>
    <mergeCell ref="D4:M4"/>
    <mergeCell ref="D51:M51"/>
    <mergeCell ref="D52:M52"/>
    <mergeCell ref="D67:F67"/>
    <mergeCell ref="L76:M76"/>
    <mergeCell ref="D53:M53"/>
    <mergeCell ref="D50:M50"/>
    <mergeCell ref="D3:M3"/>
    <mergeCell ref="D5:M5"/>
    <mergeCell ref="I7:M7"/>
    <mergeCell ref="D6:M6"/>
    <mergeCell ref="D39:F39"/>
  </mergeCells>
  <phoneticPr fontId="0" type="noConversion"/>
  <pageMargins left="0" right="0" top="0" bottom="0" header="0.11811023622047245" footer="0.31496062992125984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L34"/>
  <sheetViews>
    <sheetView topLeftCell="C11" workbookViewId="0">
      <selection activeCell="D1" sqref="D1:D1048576"/>
    </sheetView>
  </sheetViews>
  <sheetFormatPr baseColWidth="10" defaultRowHeight="12.75" x14ac:dyDescent="0.2"/>
  <cols>
    <col min="1" max="2" width="0" hidden="1" customWidth="1"/>
    <col min="3" max="3" width="6.28515625" style="412" customWidth="1"/>
    <col min="4" max="4" width="42.85546875" customWidth="1"/>
    <col min="5" max="5" width="36.28515625" customWidth="1"/>
    <col min="6" max="6" width="7" customWidth="1"/>
    <col min="7" max="7" width="11.140625" customWidth="1"/>
    <col min="8" max="8" width="7.5703125" customWidth="1"/>
    <col min="9" max="9" width="11.42578125" customWidth="1"/>
    <col min="10" max="10" width="73.5703125" customWidth="1"/>
  </cols>
  <sheetData>
    <row r="2" spans="3:12" x14ac:dyDescent="0.2">
      <c r="C2" s="409"/>
      <c r="D2" s="13"/>
      <c r="E2" s="13"/>
      <c r="F2" s="13"/>
      <c r="G2" s="13"/>
      <c r="H2" s="13"/>
      <c r="I2" s="13"/>
      <c r="J2" s="13"/>
    </row>
    <row r="3" spans="3:12" ht="19.5" x14ac:dyDescent="0.25">
      <c r="C3" s="523" t="s">
        <v>12</v>
      </c>
      <c r="D3" s="524"/>
      <c r="E3" s="524"/>
      <c r="F3" s="524"/>
      <c r="G3" s="524"/>
      <c r="H3" s="524"/>
      <c r="I3" s="524"/>
      <c r="J3" s="525"/>
    </row>
    <row r="4" spans="3:12" ht="19.5" hidden="1" x14ac:dyDescent="0.25">
      <c r="C4" s="526" t="s">
        <v>8</v>
      </c>
      <c r="D4" s="527"/>
      <c r="E4" s="527"/>
      <c r="F4" s="527"/>
      <c r="G4" s="527"/>
      <c r="H4" s="527"/>
      <c r="I4" s="527"/>
      <c r="J4" s="528"/>
    </row>
    <row r="5" spans="3:12" ht="19.5" x14ac:dyDescent="0.25">
      <c r="C5" s="526" t="s">
        <v>167</v>
      </c>
      <c r="D5" s="527"/>
      <c r="E5" s="527"/>
      <c r="F5" s="527"/>
      <c r="G5" s="527"/>
      <c r="H5" s="527"/>
      <c r="I5" s="527"/>
      <c r="J5" s="528"/>
    </row>
    <row r="6" spans="3:12" ht="19.5" x14ac:dyDescent="0.25">
      <c r="C6" s="526" t="s">
        <v>490</v>
      </c>
      <c r="D6" s="527"/>
      <c r="E6" s="527"/>
      <c r="F6" s="527"/>
      <c r="G6" s="527"/>
      <c r="H6" s="527"/>
      <c r="I6" s="527"/>
      <c r="J6" s="528"/>
    </row>
    <row r="7" spans="3:12" x14ac:dyDescent="0.2">
      <c r="C7" s="362"/>
      <c r="D7" s="104"/>
      <c r="E7" s="104"/>
      <c r="F7" s="105"/>
      <c r="G7" s="494" t="s">
        <v>0</v>
      </c>
      <c r="H7" s="496"/>
      <c r="I7" s="106"/>
      <c r="J7" s="114"/>
    </row>
    <row r="8" spans="3:12" x14ac:dyDescent="0.2">
      <c r="C8" s="363" t="s">
        <v>3</v>
      </c>
      <c r="D8" s="105"/>
      <c r="E8" s="105"/>
      <c r="F8" s="105"/>
      <c r="G8" s="109" t="s">
        <v>1</v>
      </c>
      <c r="H8" s="109"/>
      <c r="I8" s="106" t="s">
        <v>153</v>
      </c>
      <c r="J8" s="105" t="s">
        <v>165</v>
      </c>
    </row>
    <row r="9" spans="3:12" ht="15" x14ac:dyDescent="0.25">
      <c r="C9" s="364"/>
      <c r="D9" s="111" t="s">
        <v>169</v>
      </c>
      <c r="E9" s="111" t="s">
        <v>170</v>
      </c>
      <c r="F9" s="105" t="s">
        <v>168</v>
      </c>
      <c r="G9" s="105" t="s">
        <v>7</v>
      </c>
      <c r="H9" s="105"/>
      <c r="I9" s="105" t="s">
        <v>156</v>
      </c>
      <c r="J9" s="105"/>
    </row>
    <row r="10" spans="3:12" ht="15" x14ac:dyDescent="0.25">
      <c r="C10" s="363"/>
      <c r="D10" s="112" t="s">
        <v>72</v>
      </c>
      <c r="E10" s="120"/>
      <c r="F10" s="121"/>
      <c r="G10" s="121"/>
      <c r="H10" s="121"/>
      <c r="I10" s="122"/>
      <c r="J10" s="121"/>
    </row>
    <row r="11" spans="3:12" ht="35.1" customHeight="1" x14ac:dyDescent="0.25">
      <c r="C11" s="410"/>
      <c r="D11" s="10"/>
      <c r="E11" s="249"/>
      <c r="F11" s="250"/>
      <c r="G11" s="248"/>
      <c r="H11" s="248"/>
      <c r="I11" s="248"/>
      <c r="J11" s="248"/>
      <c r="K11" s="243"/>
    </row>
    <row r="12" spans="3:12" ht="39.950000000000003" customHeight="1" x14ac:dyDescent="0.2">
      <c r="C12" s="438" t="s">
        <v>450</v>
      </c>
      <c r="D12" s="439" t="s">
        <v>65</v>
      </c>
      <c r="E12" s="439" t="s">
        <v>41</v>
      </c>
      <c r="F12" s="440">
        <v>15</v>
      </c>
      <c r="G12" s="441">
        <v>1992</v>
      </c>
      <c r="H12" s="442"/>
      <c r="I12" s="443">
        <f t="shared" ref="I12:I18" si="0">G12</f>
        <v>1992</v>
      </c>
      <c r="J12" s="444"/>
      <c r="L12" s="6"/>
    </row>
    <row r="13" spans="3:12" ht="39.950000000000003" customHeight="1" x14ac:dyDescent="0.2">
      <c r="C13" s="438" t="s">
        <v>451</v>
      </c>
      <c r="D13" s="439" t="s">
        <v>66</v>
      </c>
      <c r="E13" s="439" t="s">
        <v>67</v>
      </c>
      <c r="F13" s="440">
        <v>15</v>
      </c>
      <c r="G13" s="441">
        <v>2430</v>
      </c>
      <c r="H13" s="442"/>
      <c r="I13" s="443">
        <f t="shared" si="0"/>
        <v>2430</v>
      </c>
      <c r="J13" s="444"/>
      <c r="L13" s="6"/>
    </row>
    <row r="14" spans="3:12" ht="39.950000000000003" customHeight="1" x14ac:dyDescent="0.2">
      <c r="C14" s="438" t="s">
        <v>452</v>
      </c>
      <c r="D14" s="439" t="s">
        <v>34</v>
      </c>
      <c r="E14" s="439" t="s">
        <v>32</v>
      </c>
      <c r="F14" s="440">
        <v>15</v>
      </c>
      <c r="G14" s="441">
        <v>3194</v>
      </c>
      <c r="H14" s="442"/>
      <c r="I14" s="443">
        <f t="shared" si="0"/>
        <v>3194</v>
      </c>
      <c r="J14" s="444"/>
      <c r="K14" s="437"/>
      <c r="L14" s="6"/>
    </row>
    <row r="15" spans="3:12" ht="39.950000000000003" customHeight="1" x14ac:dyDescent="0.2">
      <c r="C15" s="438" t="s">
        <v>453</v>
      </c>
      <c r="D15" s="439" t="s">
        <v>42</v>
      </c>
      <c r="E15" s="439" t="s">
        <v>262</v>
      </c>
      <c r="F15" s="440">
        <v>15</v>
      </c>
      <c r="G15" s="441">
        <v>1918</v>
      </c>
      <c r="H15" s="442"/>
      <c r="I15" s="443">
        <f t="shared" si="0"/>
        <v>1918</v>
      </c>
      <c r="J15" s="444"/>
      <c r="K15" s="247"/>
      <c r="L15" s="242"/>
    </row>
    <row r="16" spans="3:12" ht="39.950000000000003" customHeight="1" x14ac:dyDescent="0.2">
      <c r="C16" s="438" t="s">
        <v>454</v>
      </c>
      <c r="D16" s="445" t="s">
        <v>44</v>
      </c>
      <c r="E16" s="439" t="s">
        <v>45</v>
      </c>
      <c r="F16" s="446">
        <v>15</v>
      </c>
      <c r="G16" s="441">
        <v>2294</v>
      </c>
      <c r="H16" s="442"/>
      <c r="I16" s="443">
        <f t="shared" si="0"/>
        <v>2294</v>
      </c>
      <c r="J16" s="444"/>
      <c r="K16" s="247"/>
      <c r="L16" s="242"/>
    </row>
    <row r="17" spans="3:12" ht="39.950000000000003" customHeight="1" x14ac:dyDescent="0.2">
      <c r="C17" s="438" t="s">
        <v>455</v>
      </c>
      <c r="D17" s="445" t="s">
        <v>59</v>
      </c>
      <c r="E17" s="439" t="s">
        <v>87</v>
      </c>
      <c r="F17" s="446">
        <v>15</v>
      </c>
      <c r="G17" s="441">
        <v>1487</v>
      </c>
      <c r="H17" s="442"/>
      <c r="I17" s="443">
        <f t="shared" si="0"/>
        <v>1487</v>
      </c>
      <c r="J17" s="444"/>
      <c r="K17" s="247"/>
      <c r="L17" s="242"/>
    </row>
    <row r="18" spans="3:12" ht="39.950000000000003" customHeight="1" x14ac:dyDescent="0.2">
      <c r="C18" s="438" t="s">
        <v>350</v>
      </c>
      <c r="D18" s="439" t="s">
        <v>47</v>
      </c>
      <c r="E18" s="439" t="s">
        <v>489</v>
      </c>
      <c r="F18" s="440">
        <v>15</v>
      </c>
      <c r="G18" s="441">
        <v>1800</v>
      </c>
      <c r="H18" s="442"/>
      <c r="I18" s="443">
        <f t="shared" si="0"/>
        <v>1800</v>
      </c>
      <c r="J18" s="444"/>
      <c r="K18" s="247"/>
      <c r="L18" s="242"/>
    </row>
    <row r="19" spans="3:12" ht="35.1" customHeight="1" x14ac:dyDescent="0.2">
      <c r="C19" s="411"/>
      <c r="D19" s="66"/>
      <c r="E19" s="447"/>
      <c r="F19" s="447"/>
      <c r="G19" s="447"/>
      <c r="H19" s="447"/>
      <c r="I19" s="447"/>
      <c r="J19" s="1"/>
    </row>
    <row r="20" spans="3:12" ht="35.1" customHeight="1" x14ac:dyDescent="0.25">
      <c r="C20" s="411"/>
      <c r="D20" s="66"/>
      <c r="E20" s="67" t="s">
        <v>68</v>
      </c>
      <c r="F20" s="68"/>
      <c r="G20" s="69">
        <f>SUM(G12:G19)</f>
        <v>15115</v>
      </c>
      <c r="H20" s="69">
        <f>SUM(H12:H19)</f>
        <v>0</v>
      </c>
      <c r="I20" s="69">
        <f>SUM(I12:I19)</f>
        <v>15115</v>
      </c>
      <c r="J20" s="50"/>
    </row>
    <row r="21" spans="3:12" ht="35.1" customHeight="1" x14ac:dyDescent="0.25">
      <c r="C21" s="411"/>
      <c r="D21" s="66"/>
      <c r="E21" s="130"/>
      <c r="F21" s="131"/>
      <c r="G21" s="132"/>
      <c r="H21" s="132"/>
      <c r="I21" s="132"/>
      <c r="J21" s="133"/>
    </row>
    <row r="22" spans="3:12" ht="35.1" customHeight="1" x14ac:dyDescent="0.25">
      <c r="C22" s="411"/>
      <c r="D22" s="66"/>
      <c r="E22" s="130"/>
      <c r="F22" s="131"/>
      <c r="G22" s="132"/>
      <c r="H22" s="132"/>
      <c r="I22" s="132"/>
      <c r="J22" s="133"/>
    </row>
    <row r="23" spans="3:12" ht="35.1" customHeight="1" x14ac:dyDescent="0.2">
      <c r="C23" s="365"/>
      <c r="D23" s="1"/>
      <c r="E23" s="1"/>
      <c r="F23" s="1"/>
      <c r="G23" s="1"/>
      <c r="H23" s="1"/>
      <c r="I23" s="1"/>
      <c r="J23" s="1"/>
    </row>
    <row r="24" spans="3:12" x14ac:dyDescent="0.2">
      <c r="C24" s="365"/>
      <c r="D24" s="1"/>
      <c r="E24" s="1"/>
      <c r="F24" s="1"/>
      <c r="G24" s="1"/>
      <c r="H24" s="1"/>
      <c r="I24" s="1"/>
      <c r="J24" s="1"/>
    </row>
    <row r="25" spans="3:12" x14ac:dyDescent="0.2">
      <c r="C25" s="365"/>
      <c r="D25" s="61"/>
      <c r="E25" s="1"/>
      <c r="F25" s="1"/>
      <c r="G25" s="1"/>
      <c r="H25" s="1"/>
      <c r="I25" s="61"/>
      <c r="J25" s="61"/>
    </row>
    <row r="26" spans="3:12" x14ac:dyDescent="0.2">
      <c r="C26" s="365"/>
      <c r="D26" s="29" t="s">
        <v>484</v>
      </c>
      <c r="E26" s="1"/>
      <c r="F26" s="1"/>
      <c r="G26" s="1"/>
      <c r="H26" s="1"/>
      <c r="I26" s="522" t="s">
        <v>193</v>
      </c>
      <c r="J26" s="522"/>
    </row>
    <row r="27" spans="3:12" x14ac:dyDescent="0.2">
      <c r="C27" s="365"/>
      <c r="D27" s="30" t="s">
        <v>11</v>
      </c>
      <c r="E27" s="7"/>
      <c r="F27" s="7"/>
      <c r="G27" s="7"/>
      <c r="H27" s="7"/>
      <c r="I27" s="479" t="s">
        <v>164</v>
      </c>
      <c r="J27" s="479"/>
    </row>
    <row r="28" spans="3:12" x14ac:dyDescent="0.2">
      <c r="C28" s="365"/>
      <c r="D28" s="1"/>
      <c r="E28" s="1"/>
      <c r="F28" s="1"/>
      <c r="G28" s="1"/>
      <c r="H28" s="1"/>
      <c r="I28" s="1"/>
      <c r="J28" s="1"/>
    </row>
    <row r="29" spans="3:12" x14ac:dyDescent="0.2">
      <c r="C29" s="365"/>
      <c r="D29" s="1"/>
      <c r="E29" s="1"/>
      <c r="F29" s="1"/>
      <c r="G29" s="1"/>
      <c r="H29" s="1"/>
      <c r="I29" s="1"/>
      <c r="J29" s="1"/>
    </row>
    <row r="30" spans="3:12" x14ac:dyDescent="0.2">
      <c r="C30" s="365"/>
      <c r="D30" s="1"/>
      <c r="E30" s="1"/>
      <c r="F30" s="1"/>
      <c r="G30" s="1"/>
      <c r="H30" s="1"/>
      <c r="I30" s="1"/>
      <c r="J30" s="1"/>
    </row>
    <row r="31" spans="3:12" x14ac:dyDescent="0.2">
      <c r="C31" s="365"/>
      <c r="D31" s="1"/>
      <c r="E31" s="1"/>
      <c r="F31" s="1"/>
      <c r="G31" s="1"/>
      <c r="H31" s="1"/>
      <c r="I31" s="1"/>
      <c r="J31" s="1"/>
    </row>
    <row r="32" spans="3:12" x14ac:dyDescent="0.2">
      <c r="C32" s="365"/>
      <c r="D32" s="2"/>
      <c r="E32" s="1"/>
      <c r="F32" s="1"/>
      <c r="G32" s="2"/>
      <c r="H32" s="1"/>
      <c r="I32" s="1"/>
      <c r="J32" s="1"/>
    </row>
    <row r="33" spans="3:10" x14ac:dyDescent="0.2">
      <c r="C33" s="365"/>
      <c r="D33" s="7"/>
      <c r="E33" s="7"/>
      <c r="F33" s="7"/>
      <c r="G33" s="7"/>
      <c r="H33" s="7"/>
      <c r="I33" s="7"/>
      <c r="J33" s="7"/>
    </row>
    <row r="34" spans="3:10" x14ac:dyDescent="0.2">
      <c r="C34" s="365"/>
      <c r="D34" s="1"/>
      <c r="E34" s="1"/>
      <c r="F34" s="1"/>
      <c r="G34" s="1"/>
      <c r="H34" s="1"/>
      <c r="I34" s="1"/>
      <c r="J34" s="1"/>
    </row>
  </sheetData>
  <sheetProtection selectLockedCells="1" selectUnlockedCells="1"/>
  <mergeCells count="7">
    <mergeCell ref="I26:J26"/>
    <mergeCell ref="I27:J27"/>
    <mergeCell ref="C3:J3"/>
    <mergeCell ref="C4:J4"/>
    <mergeCell ref="G7:H7"/>
    <mergeCell ref="C5:J5"/>
    <mergeCell ref="C6:J6"/>
  </mergeCells>
  <phoneticPr fontId="0" type="noConversion"/>
  <pageMargins left="0.39370078740157483" right="0.31496062992125984" top="1.9291338582677167" bottom="0.74803149606299213" header="0.31496062992125984" footer="0.31496062992125984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workbookViewId="0">
      <selection activeCell="C12" sqref="C12"/>
    </sheetView>
  </sheetViews>
  <sheetFormatPr baseColWidth="10" defaultColWidth="11" defaultRowHeight="12" x14ac:dyDescent="0.15"/>
  <cols>
    <col min="1" max="1" width="11" style="265"/>
    <col min="2" max="2" width="49.5703125" style="265" customWidth="1"/>
    <col min="3" max="3" width="15.42578125" style="265" customWidth="1"/>
    <col min="4" max="4" width="4.28515625" style="265" customWidth="1"/>
    <col min="5" max="5" width="11.85546875" style="265" hidden="1" customWidth="1"/>
    <col min="6" max="6" width="43.5703125" style="265" customWidth="1"/>
    <col min="7" max="7" width="12" style="265" bestFit="1" customWidth="1"/>
    <col min="8" max="8" width="12.28515625" style="265" bestFit="1" customWidth="1"/>
    <col min="9" max="9" width="11.28515625" style="265" bestFit="1" customWidth="1"/>
    <col min="10" max="10" width="10.5703125" style="265" customWidth="1"/>
    <col min="11" max="11" width="11" style="265"/>
    <col min="12" max="12" width="12" style="265" hidden="1" customWidth="1"/>
    <col min="13" max="14" width="11.28515625" style="265" hidden="1" customWidth="1"/>
    <col min="15" max="15" width="11" style="265"/>
    <col min="16" max="17" width="11.140625" style="265" bestFit="1" customWidth="1"/>
    <col min="18" max="22" width="8.7109375" style="265" customWidth="1"/>
    <col min="23" max="24" width="11" style="265"/>
    <col min="25" max="25" width="12.28515625" style="265" bestFit="1" customWidth="1"/>
    <col min="26" max="26" width="11" style="265" bestFit="1" customWidth="1"/>
    <col min="27" max="27" width="10.5703125" style="265" customWidth="1"/>
    <col min="28" max="28" width="11" style="265"/>
    <col min="29" max="29" width="12" style="265" hidden="1" customWidth="1"/>
    <col min="30" max="31" width="11.28515625" style="265" hidden="1" customWidth="1"/>
    <col min="32" max="32" width="11" style="265"/>
    <col min="33" max="34" width="11.140625" style="265" bestFit="1" customWidth="1"/>
    <col min="35" max="16384" width="11" style="265"/>
  </cols>
  <sheetData>
    <row r="1" spans="2:34" ht="12.75" x14ac:dyDescent="0.2">
      <c r="B1" s="266"/>
      <c r="C1" s="266"/>
      <c r="D1" s="266"/>
      <c r="E1" s="266"/>
      <c r="F1" s="266"/>
    </row>
    <row r="2" spans="2:34" ht="25.5" customHeight="1" x14ac:dyDescent="0.3">
      <c r="B2" s="267" t="s">
        <v>309</v>
      </c>
      <c r="C2" s="268"/>
      <c r="D2" s="268"/>
      <c r="E2" s="268"/>
      <c r="F2" s="268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25">
      <c r="B3" s="269" t="s">
        <v>282</v>
      </c>
      <c r="C3" s="268"/>
      <c r="D3" s="268"/>
      <c r="E3" s="268"/>
      <c r="F3" s="268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25">
      <c r="B4" s="270" t="s">
        <v>310</v>
      </c>
      <c r="C4" s="271"/>
      <c r="D4" s="268"/>
      <c r="E4" s="268"/>
      <c r="F4" s="268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25">
      <c r="B5" s="272" t="s">
        <v>477</v>
      </c>
      <c r="C5" s="271"/>
      <c r="D5" s="268"/>
      <c r="E5" s="268"/>
      <c r="F5" s="268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2.75" x14ac:dyDescent="0.2">
      <c r="B7" s="273"/>
      <c r="C7" s="273"/>
      <c r="D7" s="273"/>
      <c r="E7" s="273"/>
      <c r="F7" s="273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2.75" x14ac:dyDescent="0.2">
      <c r="B8" s="273"/>
      <c r="C8" s="273"/>
      <c r="D8" s="273"/>
      <c r="E8" s="273"/>
      <c r="F8" s="273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8" x14ac:dyDescent="0.25">
      <c r="B9" s="274" t="s">
        <v>283</v>
      </c>
      <c r="C9" s="274"/>
      <c r="D9" s="275"/>
      <c r="E9" s="274"/>
      <c r="F9" s="276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8" x14ac:dyDescent="0.25">
      <c r="B10" s="275"/>
      <c r="C10" s="275"/>
      <c r="D10" s="275"/>
      <c r="E10" s="275"/>
      <c r="F10" s="275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75" x14ac:dyDescent="0.25">
      <c r="B11" s="277" t="s">
        <v>284</v>
      </c>
      <c r="C11" s="278">
        <v>2338</v>
      </c>
      <c r="D11" s="277"/>
      <c r="E11" s="277"/>
      <c r="F11" s="277"/>
      <c r="G11" s="279"/>
      <c r="H11" s="529" t="s">
        <v>469</v>
      </c>
      <c r="I11" s="529"/>
      <c r="J11" s="529"/>
      <c r="K11" s="529"/>
      <c r="L11" s="529"/>
      <c r="M11" s="529"/>
      <c r="N11" s="529"/>
      <c r="O11" s="529"/>
      <c r="R11" s="280"/>
      <c r="S11" s="280"/>
      <c r="T11" s="280"/>
      <c r="U11" s="280"/>
      <c r="V11" s="280"/>
      <c r="W11" s="280"/>
      <c r="X11" s="280"/>
      <c r="Y11" s="529" t="s">
        <v>285</v>
      </c>
      <c r="Z11" s="529"/>
      <c r="AA11" s="529"/>
      <c r="AB11" s="529"/>
      <c r="AC11" s="529"/>
      <c r="AD11" s="529"/>
      <c r="AE11" s="529"/>
      <c r="AF11" s="529"/>
    </row>
    <row r="12" spans="2:34" ht="20.25" customHeight="1" x14ac:dyDescent="0.25">
      <c r="B12" s="281" t="s">
        <v>286</v>
      </c>
      <c r="C12" s="282">
        <f>C11/15*30.4</f>
        <v>4738.3466666666664</v>
      </c>
      <c r="D12" s="283"/>
      <c r="E12" s="283"/>
      <c r="F12" s="283"/>
      <c r="G12" s="284"/>
      <c r="H12" s="280"/>
      <c r="J12" s="285"/>
      <c r="K12" s="285"/>
      <c r="R12" s="1"/>
      <c r="S12" s="1"/>
      <c r="T12" s="1"/>
      <c r="U12" s="1"/>
      <c r="V12" s="1"/>
      <c r="W12" s="284"/>
      <c r="X12" s="280"/>
      <c r="Y12" s="280"/>
      <c r="AA12" s="285"/>
      <c r="AB12" s="285"/>
    </row>
    <row r="13" spans="2:34" ht="22.5" customHeight="1" x14ac:dyDescent="0.25">
      <c r="B13" s="286" t="s">
        <v>287</v>
      </c>
      <c r="C13" s="282">
        <v>0</v>
      </c>
      <c r="D13" s="283"/>
      <c r="E13" s="283"/>
      <c r="F13" s="283"/>
      <c r="H13" s="450" t="s">
        <v>471</v>
      </c>
      <c r="I13" s="287"/>
      <c r="J13" s="280"/>
      <c r="K13" s="1"/>
      <c r="L13" s="287"/>
      <c r="M13" s="280"/>
      <c r="N13" s="280"/>
      <c r="P13" s="287" t="s">
        <v>157</v>
      </c>
      <c r="Q13" s="288"/>
      <c r="Y13" s="287" t="s">
        <v>288</v>
      </c>
      <c r="Z13" s="287"/>
      <c r="AA13" s="280"/>
      <c r="AB13" s="1"/>
      <c r="AC13" s="287"/>
      <c r="AD13" s="280"/>
      <c r="AE13" s="280"/>
      <c r="AG13" s="287" t="s">
        <v>157</v>
      </c>
      <c r="AH13" s="288"/>
    </row>
    <row r="14" spans="2:34" ht="13.5" customHeight="1" x14ac:dyDescent="0.25">
      <c r="B14" s="286" t="s">
        <v>289</v>
      </c>
      <c r="C14" s="289"/>
      <c r="D14" s="283"/>
      <c r="E14" s="283"/>
      <c r="F14" s="283"/>
      <c r="H14" s="279" t="s">
        <v>283</v>
      </c>
      <c r="I14" s="280"/>
      <c r="J14" s="287"/>
      <c r="K14" s="290"/>
      <c r="L14" s="279"/>
      <c r="M14" s="287"/>
      <c r="N14" s="291"/>
      <c r="O14" s="292"/>
      <c r="P14" s="279" t="s">
        <v>290</v>
      </c>
      <c r="Q14" s="293"/>
      <c r="Y14" s="279" t="s">
        <v>283</v>
      </c>
      <c r="Z14" s="280"/>
      <c r="AA14" s="287"/>
      <c r="AB14" s="290"/>
      <c r="AC14" s="279"/>
      <c r="AD14" s="287"/>
      <c r="AE14" s="291"/>
      <c r="AF14" s="292"/>
      <c r="AG14" s="279" t="s">
        <v>290</v>
      </c>
      <c r="AH14" s="293"/>
    </row>
    <row r="15" spans="2:34" ht="20.25" customHeight="1" x14ac:dyDescent="0.25">
      <c r="B15" s="286" t="s">
        <v>291</v>
      </c>
      <c r="C15" s="282">
        <f>C12-C13</f>
        <v>4738.3466666666664</v>
      </c>
      <c r="D15" s="283"/>
      <c r="E15" s="294"/>
      <c r="F15" s="283"/>
      <c r="H15" s="295" t="s">
        <v>292</v>
      </c>
      <c r="I15" s="295" t="s">
        <v>293</v>
      </c>
      <c r="J15" s="295" t="s">
        <v>294</v>
      </c>
      <c r="K15" s="296"/>
      <c r="L15" s="295"/>
      <c r="M15" s="295"/>
      <c r="N15" s="295"/>
      <c r="O15" s="297"/>
      <c r="P15" s="295" t="s">
        <v>295</v>
      </c>
      <c r="Q15" s="295" t="s">
        <v>157</v>
      </c>
      <c r="Y15" s="295" t="s">
        <v>292</v>
      </c>
      <c r="Z15" s="295" t="s">
        <v>293</v>
      </c>
      <c r="AA15" s="295" t="s">
        <v>294</v>
      </c>
      <c r="AB15" s="296"/>
      <c r="AC15" s="295"/>
      <c r="AD15" s="295"/>
      <c r="AE15" s="295"/>
      <c r="AF15" s="297"/>
      <c r="AG15" s="295" t="s">
        <v>295</v>
      </c>
      <c r="AH15" s="295" t="s">
        <v>157</v>
      </c>
    </row>
    <row r="16" spans="2:34" ht="22.5" customHeight="1" x14ac:dyDescent="0.25">
      <c r="B16" s="286" t="s">
        <v>296</v>
      </c>
      <c r="C16" s="282">
        <f>VLOOKUP(C15,TARIFA,1)</f>
        <v>644.59</v>
      </c>
      <c r="D16" s="283"/>
      <c r="E16" s="294"/>
      <c r="F16" s="283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">
      <c r="B17" s="283"/>
      <c r="C17" s="289"/>
      <c r="D17" s="283"/>
      <c r="E17" s="298"/>
      <c r="F17" s="283"/>
      <c r="H17" s="299">
        <v>0.01</v>
      </c>
      <c r="I17" s="299">
        <v>0</v>
      </c>
      <c r="J17" s="300">
        <v>1.9199999999999998E-2</v>
      </c>
      <c r="K17" s="299"/>
      <c r="L17" s="299"/>
      <c r="M17" s="299"/>
      <c r="N17" s="300"/>
      <c r="O17" s="299"/>
      <c r="P17" s="299">
        <v>0.01</v>
      </c>
      <c r="Q17" s="299">
        <v>407.02</v>
      </c>
      <c r="Y17" s="299">
        <v>0.01</v>
      </c>
      <c r="Z17" s="299">
        <v>0</v>
      </c>
      <c r="AA17" s="300">
        <v>1.9199999999999998E-2</v>
      </c>
      <c r="AB17" s="299"/>
      <c r="AC17" s="299"/>
      <c r="AD17" s="299"/>
      <c r="AE17" s="300"/>
      <c r="AF17" s="299"/>
      <c r="AG17" s="299">
        <v>0.01</v>
      </c>
      <c r="AH17" s="299">
        <v>407.02</v>
      </c>
    </row>
    <row r="18" spans="2:34" ht="20.25" customHeight="1" x14ac:dyDescent="0.2">
      <c r="B18" s="286" t="s">
        <v>297</v>
      </c>
      <c r="C18" s="282">
        <f>C15-C16</f>
        <v>4093.7566666666662</v>
      </c>
      <c r="D18" s="294"/>
      <c r="E18" s="294"/>
      <c r="F18" s="283"/>
      <c r="H18" s="299">
        <v>644.59</v>
      </c>
      <c r="I18" s="299">
        <v>12.38</v>
      </c>
      <c r="J18" s="300">
        <v>6.4000000000000001E-2</v>
      </c>
      <c r="K18" s="299"/>
      <c r="L18" s="299"/>
      <c r="M18" s="299"/>
      <c r="N18" s="300"/>
      <c r="O18" s="299"/>
      <c r="P18" s="299">
        <v>1768.97</v>
      </c>
      <c r="Q18" s="299">
        <v>406.83</v>
      </c>
      <c r="Y18" s="299">
        <v>578.53</v>
      </c>
      <c r="Z18" s="299">
        <v>11.11</v>
      </c>
      <c r="AA18" s="300">
        <v>6.4000000000000001E-2</v>
      </c>
      <c r="AB18" s="299"/>
      <c r="AC18" s="299"/>
      <c r="AD18" s="299"/>
      <c r="AE18" s="300"/>
      <c r="AF18" s="299"/>
      <c r="AG18" s="299">
        <v>1768.97</v>
      </c>
      <c r="AH18" s="299">
        <v>406.83</v>
      </c>
    </row>
    <row r="19" spans="2:34" ht="22.5" customHeight="1" x14ac:dyDescent="0.25">
      <c r="B19" s="286" t="s">
        <v>298</v>
      </c>
      <c r="C19" s="301">
        <f>VLOOKUP(C15,TARIFA,3)</f>
        <v>6.4000000000000001E-2</v>
      </c>
      <c r="D19" s="283"/>
      <c r="E19" s="302"/>
      <c r="F19" s="283"/>
      <c r="H19" s="299">
        <v>5470.93</v>
      </c>
      <c r="I19" s="299">
        <v>321.26</v>
      </c>
      <c r="J19" s="300">
        <v>0.10879999999999999</v>
      </c>
      <c r="K19" s="299"/>
      <c r="L19" s="299"/>
      <c r="M19" s="299"/>
      <c r="N19" s="300"/>
      <c r="O19" s="299"/>
      <c r="P19" s="299">
        <v>2653.39</v>
      </c>
      <c r="Q19" s="299">
        <v>406.62</v>
      </c>
      <c r="Y19" s="299">
        <v>4910.1899999999996</v>
      </c>
      <c r="Z19" s="299">
        <v>288.33</v>
      </c>
      <c r="AA19" s="300">
        <v>0.10879999999999999</v>
      </c>
      <c r="AB19" s="299"/>
      <c r="AC19" s="299"/>
      <c r="AD19" s="299"/>
      <c r="AE19" s="300"/>
      <c r="AF19" s="299"/>
      <c r="AG19" s="299">
        <v>2653.39</v>
      </c>
      <c r="AH19" s="299">
        <v>406.62</v>
      </c>
    </row>
    <row r="20" spans="2:34" ht="14.25" customHeight="1" x14ac:dyDescent="0.2">
      <c r="B20" s="283"/>
      <c r="C20" s="298"/>
      <c r="D20" s="283"/>
      <c r="E20" s="298"/>
      <c r="F20" s="283"/>
      <c r="H20" s="299">
        <v>9614.67</v>
      </c>
      <c r="I20" s="299">
        <v>772.1</v>
      </c>
      <c r="J20" s="300">
        <v>0.16</v>
      </c>
      <c r="K20" s="299"/>
      <c r="L20" s="299"/>
      <c r="M20" s="299"/>
      <c r="N20" s="300"/>
      <c r="O20" s="299"/>
      <c r="P20" s="299">
        <v>3472.85</v>
      </c>
      <c r="Q20" s="299">
        <v>392.77</v>
      </c>
      <c r="Y20" s="299">
        <v>8629.2099999999991</v>
      </c>
      <c r="Z20" s="299">
        <v>692.96</v>
      </c>
      <c r="AA20" s="300">
        <v>0.16</v>
      </c>
      <c r="AB20" s="299"/>
      <c r="AC20" s="299"/>
      <c r="AD20" s="299"/>
      <c r="AE20" s="300"/>
      <c r="AF20" s="299"/>
      <c r="AG20" s="299">
        <v>3472.85</v>
      </c>
      <c r="AH20" s="299">
        <v>392.77</v>
      </c>
    </row>
    <row r="21" spans="2:34" ht="20.25" customHeight="1" x14ac:dyDescent="0.2">
      <c r="B21" s="303" t="s">
        <v>299</v>
      </c>
      <c r="C21" s="304">
        <f>C18*C19</f>
        <v>262.00042666666667</v>
      </c>
      <c r="D21" s="305"/>
      <c r="E21" s="305"/>
      <c r="F21" s="283"/>
      <c r="H21" s="299">
        <v>11176.63</v>
      </c>
      <c r="I21" s="299">
        <v>1022.01</v>
      </c>
      <c r="J21" s="300">
        <v>0.1792</v>
      </c>
      <c r="K21" s="299"/>
      <c r="L21" s="299"/>
      <c r="M21" s="299"/>
      <c r="N21" s="300"/>
      <c r="O21" s="299"/>
      <c r="P21" s="299">
        <v>3537.88</v>
      </c>
      <c r="Q21" s="299">
        <v>382.46</v>
      </c>
      <c r="Y21" s="299">
        <v>10031.08</v>
      </c>
      <c r="Z21" s="299">
        <v>917.26</v>
      </c>
      <c r="AA21" s="300">
        <v>0.1792</v>
      </c>
      <c r="AB21" s="299"/>
      <c r="AC21" s="299"/>
      <c r="AD21" s="299"/>
      <c r="AE21" s="300"/>
      <c r="AF21" s="299"/>
      <c r="AG21" s="299">
        <v>3537.88</v>
      </c>
      <c r="AH21" s="299">
        <v>382.46</v>
      </c>
    </row>
    <row r="22" spans="2:34" ht="17.25" customHeight="1" x14ac:dyDescent="0.25">
      <c r="B22" s="286" t="s">
        <v>300</v>
      </c>
      <c r="C22" s="282">
        <f>VLOOKUP(C15,TARIFA,2)</f>
        <v>12.38</v>
      </c>
      <c r="D22" s="283"/>
      <c r="E22" s="306"/>
      <c r="F22" s="283"/>
      <c r="H22" s="299">
        <v>13381.48</v>
      </c>
      <c r="I22" s="299">
        <v>1417.12</v>
      </c>
      <c r="J22" s="300">
        <v>0.21360000000000001</v>
      </c>
      <c r="K22" s="299"/>
      <c r="L22" s="299"/>
      <c r="M22" s="299"/>
      <c r="N22" s="300"/>
      <c r="O22" s="299"/>
      <c r="P22" s="299">
        <v>4446.16</v>
      </c>
      <c r="Q22" s="299">
        <v>354.23</v>
      </c>
      <c r="Y22" s="299">
        <v>12009.95</v>
      </c>
      <c r="Z22" s="299">
        <v>1271.8699999999999</v>
      </c>
      <c r="AA22" s="300">
        <v>0.21360000000000001</v>
      </c>
      <c r="AB22" s="299"/>
      <c r="AC22" s="299"/>
      <c r="AD22" s="299"/>
      <c r="AE22" s="300"/>
      <c r="AF22" s="299"/>
      <c r="AG22" s="299">
        <v>4446.16</v>
      </c>
      <c r="AH22" s="299">
        <v>354.23</v>
      </c>
    </row>
    <row r="23" spans="2:34" ht="14.25" customHeight="1" x14ac:dyDescent="0.2">
      <c r="B23" s="66"/>
      <c r="C23" s="307"/>
      <c r="D23" s="283"/>
      <c r="E23" s="298"/>
      <c r="F23" s="283"/>
      <c r="H23" s="299">
        <v>26988.51</v>
      </c>
      <c r="I23" s="299">
        <v>4323.58</v>
      </c>
      <c r="J23" s="300">
        <v>0.23519999999999999</v>
      </c>
      <c r="K23" s="299"/>
      <c r="L23" s="299"/>
      <c r="M23" s="299"/>
      <c r="N23" s="300"/>
      <c r="O23" s="299"/>
      <c r="P23" s="299">
        <v>4717.1899999999996</v>
      </c>
      <c r="Q23" s="299">
        <v>324.87</v>
      </c>
      <c r="Y23" s="299">
        <v>24222.32</v>
      </c>
      <c r="Z23" s="299">
        <v>3880.44</v>
      </c>
      <c r="AA23" s="300">
        <v>0.23519999999999999</v>
      </c>
      <c r="AB23" s="299"/>
      <c r="AC23" s="299"/>
      <c r="AD23" s="299"/>
      <c r="AE23" s="300"/>
      <c r="AF23" s="299"/>
      <c r="AG23" s="299">
        <v>4717.1899999999996</v>
      </c>
      <c r="AH23" s="299">
        <v>324.87</v>
      </c>
    </row>
    <row r="24" spans="2:34" ht="20.25" customHeight="1" x14ac:dyDescent="0.2">
      <c r="B24" s="66" t="s">
        <v>301</v>
      </c>
      <c r="C24" s="307">
        <f>+C21+C22</f>
        <v>274.38042666666666</v>
      </c>
      <c r="D24" s="283"/>
      <c r="E24" s="305"/>
      <c r="F24" s="308"/>
      <c r="H24" s="299">
        <v>42537.59</v>
      </c>
      <c r="I24" s="299">
        <v>7980.73</v>
      </c>
      <c r="J24" s="300">
        <v>0.3</v>
      </c>
      <c r="K24" s="299"/>
      <c r="L24" s="299"/>
      <c r="M24" s="299"/>
      <c r="N24" s="300"/>
      <c r="O24" s="299"/>
      <c r="P24" s="299">
        <v>5335.43</v>
      </c>
      <c r="Q24" s="299">
        <v>294.63</v>
      </c>
      <c r="Y24" s="299">
        <v>38177.699999999997</v>
      </c>
      <c r="Z24" s="299">
        <v>7162.74</v>
      </c>
      <c r="AA24" s="300">
        <v>0.3</v>
      </c>
      <c r="AB24" s="299"/>
      <c r="AC24" s="299"/>
      <c r="AD24" s="299"/>
      <c r="AE24" s="300"/>
      <c r="AF24" s="299"/>
      <c r="AG24" s="299">
        <v>5335.43</v>
      </c>
      <c r="AH24" s="299">
        <v>294.63</v>
      </c>
    </row>
    <row r="25" spans="2:34" ht="21.75" customHeight="1" x14ac:dyDescent="0.2">
      <c r="C25" s="309"/>
      <c r="D25" s="310"/>
      <c r="E25" s="294"/>
      <c r="F25" s="283"/>
      <c r="H25" s="299">
        <v>81211.259999999995</v>
      </c>
      <c r="I25" s="299">
        <v>19582.830000000002</v>
      </c>
      <c r="J25" s="300">
        <v>0.32</v>
      </c>
      <c r="K25" s="299"/>
      <c r="L25" s="299"/>
      <c r="M25" s="299"/>
      <c r="N25" s="311"/>
      <c r="O25" s="299"/>
      <c r="P25" s="299">
        <v>6224.68</v>
      </c>
      <c r="Q25" s="299">
        <v>253.54</v>
      </c>
      <c r="Y25" s="299">
        <v>72887.509999999995</v>
      </c>
      <c r="Z25" s="299">
        <v>17575.689999999999</v>
      </c>
      <c r="AA25" s="300">
        <v>0.32</v>
      </c>
      <c r="AB25" s="299"/>
      <c r="AC25" s="299"/>
      <c r="AD25" s="299"/>
      <c r="AE25" s="311"/>
      <c r="AF25" s="299"/>
      <c r="AG25" s="299">
        <v>6224.68</v>
      </c>
      <c r="AH25" s="299">
        <v>253.54</v>
      </c>
    </row>
    <row r="26" spans="2:34" ht="21.75" customHeight="1" x14ac:dyDescent="0.25">
      <c r="B26" s="286" t="s">
        <v>302</v>
      </c>
      <c r="C26" s="282">
        <f>VLOOKUP(C15,SUBSIDIO,2)</f>
        <v>324.87</v>
      </c>
      <c r="D26" s="283"/>
      <c r="E26" s="312"/>
      <c r="F26" s="66"/>
      <c r="H26" s="299">
        <v>108281.68</v>
      </c>
      <c r="I26" s="299">
        <v>28245.360000000001</v>
      </c>
      <c r="J26" s="300">
        <v>0.34</v>
      </c>
      <c r="K26" s="299"/>
      <c r="L26" s="299"/>
      <c r="M26" s="299"/>
      <c r="N26" s="299"/>
      <c r="O26" s="299"/>
      <c r="P26" s="299">
        <v>7113.91</v>
      </c>
      <c r="Q26" s="299">
        <v>217.61</v>
      </c>
      <c r="Y26" s="299">
        <v>97183.34</v>
      </c>
      <c r="Z26" s="299">
        <v>25350.35</v>
      </c>
      <c r="AA26" s="300">
        <v>0.34</v>
      </c>
      <c r="AB26" s="299"/>
      <c r="AC26" s="299"/>
      <c r="AD26" s="299"/>
      <c r="AE26" s="299"/>
      <c r="AF26" s="299"/>
      <c r="AG26" s="299">
        <v>7113.91</v>
      </c>
      <c r="AH26" s="299">
        <v>217.61</v>
      </c>
    </row>
    <row r="27" spans="2:34" ht="14.25" x14ac:dyDescent="0.2">
      <c r="B27" s="283"/>
      <c r="C27" s="289"/>
      <c r="D27" s="283"/>
      <c r="E27" s="298"/>
      <c r="F27" s="313"/>
      <c r="H27" s="299">
        <v>324845.02</v>
      </c>
      <c r="I27" s="299">
        <v>101876.9</v>
      </c>
      <c r="J27" s="300">
        <v>0.35</v>
      </c>
      <c r="K27" s="299"/>
      <c r="L27" s="299"/>
      <c r="M27" s="299"/>
      <c r="N27" s="299"/>
      <c r="O27" s="299"/>
      <c r="P27" s="299">
        <v>7382.34</v>
      </c>
      <c r="Q27" s="299">
        <v>0</v>
      </c>
      <c r="Y27" s="299">
        <v>291550.01</v>
      </c>
      <c r="Z27" s="299">
        <v>91435.02</v>
      </c>
      <c r="AA27" s="300">
        <v>0.35</v>
      </c>
      <c r="AB27" s="299"/>
      <c r="AC27" s="299"/>
      <c r="AD27" s="299"/>
      <c r="AE27" s="299"/>
      <c r="AF27" s="299"/>
      <c r="AG27" s="299">
        <v>7382.34</v>
      </c>
      <c r="AH27" s="299">
        <v>0</v>
      </c>
    </row>
    <row r="28" spans="2:34" ht="21.75" customHeight="1" thickBot="1" x14ac:dyDescent="0.3">
      <c r="B28" s="281" t="s">
        <v>303</v>
      </c>
      <c r="C28" s="314">
        <f>IF(C24&gt;C26,C24-C26,0)</f>
        <v>0</v>
      </c>
      <c r="D28" s="283"/>
      <c r="E28" s="298"/>
      <c r="F28" s="283"/>
      <c r="H28" s="299"/>
      <c r="I28" s="299"/>
      <c r="J28" s="300"/>
      <c r="Y28" s="299"/>
      <c r="Z28" s="299"/>
      <c r="AA28" s="300"/>
    </row>
    <row r="29" spans="2:34" ht="20.25" customHeight="1" thickTop="1" thickBot="1" x14ac:dyDescent="0.25">
      <c r="C29" s="309"/>
      <c r="D29" s="283"/>
      <c r="E29" s="283"/>
      <c r="F29" s="283"/>
      <c r="H29" s="299"/>
      <c r="I29" s="299"/>
      <c r="J29" s="299"/>
      <c r="Y29" s="299"/>
      <c r="Z29" s="299"/>
      <c r="AA29" s="299"/>
    </row>
    <row r="30" spans="2:34" ht="20.25" customHeight="1" thickTop="1" thickBot="1" x14ac:dyDescent="0.3">
      <c r="B30" s="281" t="s">
        <v>304</v>
      </c>
      <c r="C30" s="315">
        <f>IF(C24&lt;C26,C26-C24,0)</f>
        <v>50.48957333333334</v>
      </c>
      <c r="D30" s="283"/>
      <c r="E30" s="283"/>
      <c r="F30" s="283"/>
      <c r="H30" s="299"/>
      <c r="I30" s="299"/>
      <c r="J30" s="299"/>
      <c r="Y30" s="299"/>
      <c r="Z30" s="299"/>
      <c r="AA30" s="299"/>
    </row>
    <row r="31" spans="2:34" ht="27.75" customHeight="1" thickBot="1" x14ac:dyDescent="0.25">
      <c r="B31" s="316" t="s">
        <v>305</v>
      </c>
      <c r="C31" s="317">
        <f>IF((C28/30.4*15)&gt;0,(C28/30.4*15),0)</f>
        <v>0</v>
      </c>
      <c r="D31" s="283"/>
      <c r="E31" s="283"/>
      <c r="F31" s="283"/>
    </row>
    <row r="32" spans="2:34" ht="20.25" customHeight="1" thickBot="1" x14ac:dyDescent="0.25">
      <c r="B32" s="316" t="s">
        <v>306</v>
      </c>
      <c r="C32" s="317">
        <f>IF((C30/30.4*15)&gt;0,(C30/30.4*15),0)</f>
        <v>24.912618421052635</v>
      </c>
      <c r="D32" s="283"/>
      <c r="E32" s="283"/>
      <c r="F32" s="283"/>
    </row>
    <row r="33" spans="2:6" ht="20.25" customHeight="1" x14ac:dyDescent="0.2">
      <c r="B33" s="66"/>
      <c r="C33" s="66"/>
      <c r="D33" s="283"/>
      <c r="E33" s="283"/>
      <c r="F33" s="283"/>
    </row>
    <row r="34" spans="2:6" ht="20.25" customHeight="1" x14ac:dyDescent="0.25">
      <c r="B34" s="318" t="s">
        <v>307</v>
      </c>
      <c r="C34" s="66"/>
      <c r="D34" s="283"/>
      <c r="E34" s="283"/>
      <c r="F34" s="283"/>
    </row>
    <row r="35" spans="2:6" ht="10.5" customHeight="1" x14ac:dyDescent="0.2">
      <c r="B35" s="266"/>
      <c r="C35" s="266"/>
      <c r="D35" s="266"/>
      <c r="E35" s="266"/>
      <c r="F35" s="266"/>
    </row>
    <row r="36" spans="2:6" ht="18" customHeight="1" x14ac:dyDescent="0.25">
      <c r="B36" s="319" t="s">
        <v>308</v>
      </c>
      <c r="C36" s="320"/>
      <c r="D36" s="266"/>
      <c r="E36" s="266"/>
      <c r="F36" s="266"/>
    </row>
    <row r="37" spans="2:6" ht="17.25" customHeight="1" x14ac:dyDescent="0.25">
      <c r="B37" s="319" t="s">
        <v>470</v>
      </c>
      <c r="C37" s="320"/>
      <c r="D37" s="266"/>
      <c r="E37" s="266"/>
      <c r="F37" s="266"/>
    </row>
    <row r="38" spans="2:6" ht="12.75" x14ac:dyDescent="0.2">
      <c r="B38" s="266"/>
      <c r="C38" s="266"/>
      <c r="D38" s="266"/>
      <c r="E38" s="266"/>
      <c r="F38" s="1"/>
    </row>
    <row r="39" spans="2:6" ht="12.75" x14ac:dyDescent="0.2">
      <c r="B39" s="266"/>
      <c r="C39" s="266"/>
      <c r="D39" s="266"/>
      <c r="E39" s="266"/>
      <c r="F39" s="321"/>
    </row>
    <row r="40" spans="2:6" ht="12.75" x14ac:dyDescent="0.2">
      <c r="B40" s="266"/>
      <c r="C40" s="266"/>
      <c r="D40" s="266"/>
      <c r="E40" s="266"/>
      <c r="F40" s="1"/>
    </row>
  </sheetData>
  <sheetProtection password="CF7A" sheet="1" objects="1" scenarios="1"/>
  <mergeCells count="2">
    <mergeCell ref="Y11:AF11"/>
    <mergeCell ref="H11:O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PROTECCION CIVIL</vt:lpstr>
      <vt:lpstr>JUBILADOS</vt:lpstr>
      <vt:lpstr>Determinacion ISR 2021</vt:lpstr>
      <vt:lpstr>JUBILADOS!Área_de_impresión</vt:lpstr>
      <vt:lpstr>PERMANENTES!Área_de_impresión</vt:lpstr>
      <vt:lpstr>REGIDORES!Área_de_impresión</vt:lpstr>
      <vt:lpstr>'SEG.PUB.MPAL Y PROTECCION CIVIL'!Área_de_impresión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2021-05-13T18:00:47Z</cp:lastPrinted>
  <dcterms:created xsi:type="dcterms:W3CDTF">2000-05-05T04:08:27Z</dcterms:created>
  <dcterms:modified xsi:type="dcterms:W3CDTF">2021-06-02T17:52:57Z</dcterms:modified>
</cp:coreProperties>
</file>